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joh\Downloads\Parcels\"/>
    </mc:Choice>
  </mc:AlternateContent>
  <xr:revisionPtr revIDLastSave="0" documentId="13_ncr:1_{B497ABC5-AC74-4A52-B8AE-550E4A1907FE}" xr6:coauthVersionLast="47" xr6:coauthVersionMax="47" xr10:uidLastSave="{00000000-0000-0000-0000-000000000000}"/>
  <bookViews>
    <workbookView xWindow="-98" yWindow="-98" windowWidth="20715" windowHeight="13276" tabRatio="745" activeTab="7" xr2:uid="{00000000-000D-0000-FFFF-FFFF00000000}"/>
  </bookViews>
  <sheets>
    <sheet name="Cover" sheetId="2" r:id="rId1"/>
    <sheet name="Index" sheetId="4" r:id="rId2"/>
    <sheet name="INTRO" sheetId="38" r:id="rId3"/>
    <sheet name="MKT" sheetId="1" r:id="rId4"/>
    <sheet name="MKT1" sheetId="5" r:id="rId5"/>
    <sheet name="CON" sheetId="11" r:id="rId6"/>
    <sheet name="ETAIL" sheetId="9" r:id="rId7"/>
    <sheet name="MKT2" sheetId="3" r:id="rId8"/>
    <sheet name="DOPN1" sheetId="16" r:id="rId9"/>
    <sheet name="DOPN2" sheetId="6" r:id="rId10"/>
    <sheet name="CARR1" sheetId="15" r:id="rId11"/>
    <sheet name="CARR2" sheetId="7" r:id="rId12"/>
    <sheet name="LCARR" sheetId="18" r:id="rId13"/>
    <sheet name="COMM" sheetId="10" r:id="rId14"/>
    <sheet name="SUM" sheetId="17" r:id="rId15"/>
  </sheets>
  <definedNames>
    <definedName name="_xlnm.Print_Area" localSheetId="10">CARR1!$A$1:$I$56</definedName>
    <definedName name="_xlnm.Print_Area" localSheetId="11">CARR2!$A$1:$L$29</definedName>
    <definedName name="_xlnm.Print_Area" localSheetId="13">COMM!$A$1:$Q$45</definedName>
    <definedName name="_xlnm.Print_Area" localSheetId="9">DOPN2!$A$1:$P$46</definedName>
    <definedName name="_xlnm.Print_Area" localSheetId="3">MKT!$A$1:$U$26</definedName>
    <definedName name="_xlnm.Print_Area" localSheetId="4">'MKT1'!$A$1:$I$28</definedName>
    <definedName name="_xlnm.Print_Area" localSheetId="7">'MKT2'!$A$1:$I$48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1" l="1"/>
  <c r="D5" i="11"/>
  <c r="C5" i="11"/>
  <c r="E7" i="11"/>
  <c r="D7" i="11"/>
  <c r="C7" i="11"/>
  <c r="E6" i="11"/>
  <c r="F8" i="11" s="1"/>
  <c r="D6" i="11"/>
  <c r="C6" i="11"/>
  <c r="B23" i="9"/>
  <c r="B24" i="9" s="1"/>
  <c r="B31" i="3"/>
  <c r="B11" i="18"/>
  <c r="D23" i="15"/>
  <c r="E23" i="15"/>
  <c r="G23" i="15"/>
  <c r="H23" i="15"/>
  <c r="E12" i="5"/>
  <c r="F12" i="5"/>
  <c r="G12" i="5"/>
  <c r="H12" i="5"/>
  <c r="I12" i="5"/>
  <c r="J12" i="5"/>
  <c r="K12" i="5"/>
  <c r="L12" i="5"/>
  <c r="M12" i="5"/>
  <c r="D12" i="5"/>
  <c r="E11" i="5"/>
  <c r="F11" i="5"/>
  <c r="G11" i="5"/>
  <c r="H11" i="5"/>
  <c r="I11" i="5"/>
  <c r="J11" i="5"/>
  <c r="K11" i="5"/>
  <c r="L11" i="5"/>
  <c r="M11" i="5"/>
  <c r="D11" i="5"/>
  <c r="B1" i="11"/>
  <c r="B18" i="16"/>
  <c r="B20" i="16" s="1"/>
  <c r="D18" i="16"/>
  <c r="D17" i="16" s="1"/>
  <c r="C18" i="16"/>
  <c r="C19" i="16" s="1"/>
  <c r="E9" i="11"/>
  <c r="D9" i="11"/>
  <c r="C9" i="11"/>
  <c r="C62" i="11"/>
  <c r="D62" i="11"/>
  <c r="E62" i="11"/>
  <c r="F62" i="11"/>
  <c r="G62" i="11"/>
  <c r="H62" i="11"/>
  <c r="I62" i="11"/>
  <c r="J62" i="11"/>
  <c r="K62" i="11"/>
  <c r="B62" i="11"/>
  <c r="C23" i="15"/>
  <c r="D24" i="15"/>
  <c r="E24" i="15"/>
  <c r="G24" i="15"/>
  <c r="H24" i="15"/>
  <c r="C24" i="15"/>
  <c r="E29" i="15"/>
  <c r="E28" i="15"/>
  <c r="E26" i="15"/>
  <c r="E21" i="15"/>
  <c r="I33" i="7" s="1"/>
  <c r="E32" i="15"/>
  <c r="D32" i="15"/>
  <c r="C14" i="9"/>
  <c r="E14" i="9" s="1"/>
  <c r="D14" i="16"/>
  <c r="C14" i="16"/>
  <c r="A16" i="4"/>
  <c r="A15" i="4"/>
  <c r="E12" i="9"/>
  <c r="G7" i="1"/>
  <c r="D25" i="15"/>
  <c r="E25" i="15" s="1"/>
  <c r="G25" i="15"/>
  <c r="H25" i="15"/>
  <c r="C25" i="15"/>
  <c r="E122" i="16"/>
  <c r="F122" i="16"/>
  <c r="E123" i="16"/>
  <c r="F123" i="16"/>
  <c r="E124" i="16"/>
  <c r="F124" i="16"/>
  <c r="E125" i="16"/>
  <c r="F125" i="16"/>
  <c r="E126" i="16"/>
  <c r="F126" i="16"/>
  <c r="E127" i="16"/>
  <c r="F127" i="16"/>
  <c r="E128" i="16"/>
  <c r="F128" i="16"/>
  <c r="E129" i="16"/>
  <c r="F129" i="16"/>
  <c r="E130" i="16"/>
  <c r="F130" i="16"/>
  <c r="E131" i="16"/>
  <c r="F131" i="16"/>
  <c r="E132" i="16"/>
  <c r="F132" i="16"/>
  <c r="E133" i="16"/>
  <c r="F133" i="16"/>
  <c r="E134" i="16"/>
  <c r="F134" i="16"/>
  <c r="E135" i="16"/>
  <c r="F135" i="16"/>
  <c r="E136" i="16"/>
  <c r="F136" i="16"/>
  <c r="E137" i="16"/>
  <c r="F137" i="16"/>
  <c r="E138" i="16"/>
  <c r="F138" i="16"/>
  <c r="E139" i="16"/>
  <c r="F139" i="16"/>
  <c r="E140" i="16"/>
  <c r="F140" i="16"/>
  <c r="E141" i="16"/>
  <c r="F141" i="16"/>
  <c r="E142" i="16"/>
  <c r="F142" i="16"/>
  <c r="E143" i="16"/>
  <c r="F143" i="16"/>
  <c r="E144" i="16"/>
  <c r="F144" i="16"/>
  <c r="E145" i="16"/>
  <c r="F145" i="16"/>
  <c r="E146" i="16"/>
  <c r="F146" i="16"/>
  <c r="E147" i="16"/>
  <c r="F147" i="16"/>
  <c r="E148" i="16"/>
  <c r="F148" i="16"/>
  <c r="E149" i="16"/>
  <c r="F149" i="16"/>
  <c r="E150" i="16"/>
  <c r="F150" i="16"/>
  <c r="E151" i="16"/>
  <c r="F151" i="16"/>
  <c r="E152" i="16"/>
  <c r="F152" i="16"/>
  <c r="E153" i="16"/>
  <c r="F153" i="16"/>
  <c r="E121" i="16"/>
  <c r="F121" i="16"/>
  <c r="B14" i="16"/>
  <c r="B167" i="16"/>
  <c r="C167" i="16"/>
  <c r="D167" i="16"/>
  <c r="E167" i="16"/>
  <c r="F167" i="16"/>
  <c r="G167" i="16"/>
  <c r="B166" i="16"/>
  <c r="C166" i="16"/>
  <c r="D166" i="16"/>
  <c r="E166" i="16"/>
  <c r="F166" i="16"/>
  <c r="G166" i="16"/>
  <c r="E165" i="16"/>
  <c r="F165" i="16"/>
  <c r="E155" i="16"/>
  <c r="J155" i="16"/>
  <c r="E156" i="16"/>
  <c r="J156" i="16"/>
  <c r="J158" i="16"/>
  <c r="E158" i="16"/>
  <c r="F158" i="16"/>
  <c r="F156" i="16"/>
  <c r="F155" i="16"/>
  <c r="A177" i="16"/>
  <c r="B28" i="16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3" i="1"/>
  <c r="B12" i="5" s="1"/>
  <c r="I14" i="5" s="1"/>
  <c r="I15" i="5" s="1"/>
  <c r="K30" i="11"/>
  <c r="C32" i="3" s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R23" i="1"/>
  <c r="B11" i="5" s="1"/>
  <c r="H23" i="1"/>
  <c r="A178" i="16"/>
  <c r="A179" i="16"/>
  <c r="A180" i="16"/>
  <c r="A182" i="16"/>
  <c r="B29" i="16"/>
  <c r="C29" i="16" s="1"/>
  <c r="G8" i="1"/>
  <c r="A183" i="16"/>
  <c r="A184" i="16"/>
  <c r="A185" i="16"/>
  <c r="C15" i="16"/>
  <c r="D15" i="16"/>
  <c r="D24" i="10" s="1"/>
  <c r="B15" i="16"/>
  <c r="B24" i="10" s="1"/>
  <c r="G24" i="1"/>
  <c r="C20" i="10"/>
  <c r="D20" i="10"/>
  <c r="B20" i="10"/>
  <c r="E34" i="11"/>
  <c r="F34" i="11" s="1"/>
  <c r="E33" i="11"/>
  <c r="F33" i="11" s="1"/>
  <c r="D20" i="11"/>
  <c r="C24" i="10"/>
  <c r="J29" i="11"/>
  <c r="J33" i="11" s="1"/>
  <c r="K33" i="11"/>
  <c r="N21" i="1"/>
  <c r="N22" i="1"/>
  <c r="M13" i="3"/>
  <c r="K32" i="11"/>
  <c r="C34" i="3" s="1"/>
  <c r="Q21" i="1"/>
  <c r="R21" i="1"/>
  <c r="Q22" i="1"/>
  <c r="R22" i="1"/>
  <c r="C35" i="3"/>
  <c r="B43" i="16"/>
  <c r="O43" i="16" s="1"/>
  <c r="G36" i="10"/>
  <c r="D33" i="7"/>
  <c r="D27" i="15"/>
  <c r="E27" i="15" s="1"/>
  <c r="J33" i="7"/>
  <c r="H27" i="15"/>
  <c r="C33" i="7"/>
  <c r="H33" i="7" s="1"/>
  <c r="C27" i="15"/>
  <c r="M13" i="5"/>
  <c r="E33" i="7"/>
  <c r="G27" i="15"/>
  <c r="G38" i="10"/>
  <c r="C23" i="1"/>
  <c r="E39" i="10"/>
  <c r="G39" i="10"/>
  <c r="G40" i="10"/>
  <c r="G41" i="10"/>
  <c r="G42" i="10"/>
  <c r="I43" i="10"/>
  <c r="I42" i="10"/>
  <c r="I38" i="10"/>
  <c r="I39" i="10"/>
  <c r="I40" i="10"/>
  <c r="I41" i="10"/>
  <c r="I36" i="10"/>
  <c r="J23" i="1"/>
  <c r="B10" i="5" s="1"/>
  <c r="B10" i="3" s="1"/>
  <c r="B13" i="3"/>
  <c r="B40" i="15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B16" i="15"/>
  <c r="E38" i="10" s="1"/>
  <c r="B8" i="18"/>
  <c r="B10" i="18"/>
  <c r="A6" i="38"/>
  <c r="B27" i="9"/>
  <c r="C11" i="3"/>
  <c r="A258" i="16"/>
  <c r="A259" i="16"/>
  <c r="A260" i="16"/>
  <c r="A257" i="16"/>
  <c r="E43" i="6"/>
  <c r="F43" i="6"/>
  <c r="G43" i="6"/>
  <c r="H43" i="6"/>
  <c r="I43" i="6"/>
  <c r="J43" i="6"/>
  <c r="K43" i="6"/>
  <c r="L43" i="6"/>
  <c r="D43" i="6"/>
  <c r="C43" i="6"/>
  <c r="D27" i="6"/>
  <c r="E27" i="6"/>
  <c r="F27" i="6"/>
  <c r="G27" i="6"/>
  <c r="H27" i="6"/>
  <c r="I27" i="6"/>
  <c r="J27" i="6"/>
  <c r="K27" i="6"/>
  <c r="L27" i="6"/>
  <c r="C27" i="6"/>
  <c r="E8" i="9"/>
  <c r="E9" i="9"/>
  <c r="E10" i="9"/>
  <c r="E7" i="9"/>
  <c r="C8" i="3"/>
  <c r="E13" i="5"/>
  <c r="F13" i="5"/>
  <c r="G13" i="5"/>
  <c r="H13" i="5"/>
  <c r="I13" i="5"/>
  <c r="J13" i="5"/>
  <c r="K13" i="5"/>
  <c r="L13" i="5"/>
  <c r="D13" i="5"/>
  <c r="Z13" i="1"/>
  <c r="AB13" i="1"/>
  <c r="AG13" i="1"/>
  <c r="AE13" i="1"/>
  <c r="A213" i="16"/>
  <c r="A214" i="16"/>
  <c r="A215" i="16"/>
  <c r="A212" i="16"/>
  <c r="A208" i="16"/>
  <c r="A209" i="16"/>
  <c r="A210" i="16"/>
  <c r="A207" i="16"/>
  <c r="A193" i="16"/>
  <c r="A194" i="16"/>
  <c r="A195" i="16"/>
  <c r="A192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B30" i="16"/>
  <c r="C30" i="16" s="1"/>
  <c r="B31" i="16"/>
  <c r="C31" i="16" s="1"/>
  <c r="B32" i="16"/>
  <c r="B33" i="16"/>
  <c r="C33" i="16" s="1"/>
  <c r="B34" i="16"/>
  <c r="C34" i="16" s="1"/>
  <c r="B35" i="16"/>
  <c r="C35" i="16" s="1"/>
  <c r="B36" i="16"/>
  <c r="C36" i="16" s="1"/>
  <c r="B37" i="16"/>
  <c r="C37" i="16" s="1"/>
  <c r="B38" i="16"/>
  <c r="C38" i="16" s="1"/>
  <c r="B39" i="16"/>
  <c r="C39" i="16" s="1"/>
  <c r="B40" i="16"/>
  <c r="C40" i="16" s="1"/>
  <c r="B41" i="16"/>
  <c r="C41" i="16" s="1"/>
  <c r="B42" i="16"/>
  <c r="Q42" i="16" s="1"/>
  <c r="A35" i="16"/>
  <c r="A34" i="16"/>
  <c r="A31" i="16"/>
  <c r="G13" i="1"/>
  <c r="G22" i="1"/>
  <c r="Z22" i="1"/>
  <c r="AA22" i="1"/>
  <c r="AE22" i="1"/>
  <c r="AF22" i="1"/>
  <c r="AG22" i="1"/>
  <c r="AH22" i="1"/>
  <c r="A95" i="16"/>
  <c r="A94" i="16"/>
  <c r="A74" i="16"/>
  <c r="A55" i="16"/>
  <c r="A29" i="16"/>
  <c r="A30" i="16"/>
  <c r="A32" i="16"/>
  <c r="A33" i="16"/>
  <c r="A36" i="16"/>
  <c r="A37" i="16"/>
  <c r="A38" i="16"/>
  <c r="A39" i="16"/>
  <c r="A40" i="16"/>
  <c r="A41" i="16"/>
  <c r="A42" i="16"/>
  <c r="A43" i="16"/>
  <c r="A28" i="16"/>
  <c r="G43" i="16"/>
  <c r="G42" i="16"/>
  <c r="K42" i="16"/>
  <c r="Q43" i="16"/>
  <c r="U43" i="16"/>
  <c r="U42" i="16"/>
  <c r="AA13" i="1"/>
  <c r="AF13" i="1"/>
  <c r="Y43" i="16"/>
  <c r="D43" i="16"/>
  <c r="K13" i="1"/>
  <c r="L13" i="1"/>
  <c r="AC22" i="1"/>
  <c r="AB22" i="1"/>
  <c r="A253" i="16"/>
  <c r="A254" i="16"/>
  <c r="A255" i="16"/>
  <c r="A248" i="16"/>
  <c r="A249" i="16"/>
  <c r="A250" i="16"/>
  <c r="A243" i="16"/>
  <c r="A244" i="16"/>
  <c r="A245" i="16"/>
  <c r="A238" i="16"/>
  <c r="A239" i="16"/>
  <c r="A240" i="16"/>
  <c r="A233" i="16"/>
  <c r="A234" i="16"/>
  <c r="A235" i="16"/>
  <c r="A228" i="16"/>
  <c r="A229" i="16"/>
  <c r="A230" i="16"/>
  <c r="A223" i="16"/>
  <c r="A224" i="16"/>
  <c r="A225" i="16"/>
  <c r="A218" i="16"/>
  <c r="A219" i="16"/>
  <c r="A220" i="16"/>
  <c r="A203" i="16"/>
  <c r="A204" i="16"/>
  <c r="A205" i="16"/>
  <c r="A198" i="16"/>
  <c r="A199" i="16"/>
  <c r="A200" i="16"/>
  <c r="A188" i="16"/>
  <c r="A189" i="16"/>
  <c r="A190" i="16"/>
  <c r="A252" i="16"/>
  <c r="A247" i="16"/>
  <c r="A242" i="16"/>
  <c r="A237" i="16"/>
  <c r="A232" i="16"/>
  <c r="A227" i="16"/>
  <c r="A222" i="16"/>
  <c r="A217" i="16"/>
  <c r="A202" i="16"/>
  <c r="A197" i="16"/>
  <c r="A187" i="16"/>
  <c r="K22" i="1"/>
  <c r="Z15" i="1"/>
  <c r="AE15" i="1"/>
  <c r="AA15" i="1"/>
  <c r="AF15" i="1"/>
  <c r="AB15" i="1"/>
  <c r="AG15" i="1"/>
  <c r="Z16" i="1"/>
  <c r="AE16" i="1"/>
  <c r="AA16" i="1"/>
  <c r="AF16" i="1"/>
  <c r="AB16" i="1"/>
  <c r="AG16" i="1"/>
  <c r="Z17" i="1"/>
  <c r="AE17" i="1"/>
  <c r="AA17" i="1"/>
  <c r="AF17" i="1" s="1"/>
  <c r="AB17" i="1"/>
  <c r="AG17" i="1"/>
  <c r="Z18" i="1"/>
  <c r="AE18" i="1"/>
  <c r="Z19" i="1"/>
  <c r="AE19" i="1"/>
  <c r="Z20" i="1"/>
  <c r="AE20" i="1"/>
  <c r="AE21" i="1"/>
  <c r="AF21" i="1"/>
  <c r="AG21" i="1"/>
  <c r="AH21" i="1"/>
  <c r="Z8" i="1"/>
  <c r="AA8" i="1"/>
  <c r="AF8" i="1"/>
  <c r="Z9" i="1"/>
  <c r="AA9" i="1"/>
  <c r="AF9" i="1"/>
  <c r="Z14" i="1"/>
  <c r="AA14" i="1"/>
  <c r="AF14" i="1"/>
  <c r="Z11" i="1"/>
  <c r="AA11" i="1"/>
  <c r="AF11" i="1"/>
  <c r="Z12" i="1"/>
  <c r="AA12" i="1"/>
  <c r="AF12" i="1"/>
  <c r="Z10" i="1"/>
  <c r="AA10" i="1"/>
  <c r="AF10" i="1" s="1"/>
  <c r="AA18" i="1"/>
  <c r="AF18" i="1" s="1"/>
  <c r="AA19" i="1"/>
  <c r="AF19" i="1"/>
  <c r="AA20" i="1"/>
  <c r="AF20" i="1"/>
  <c r="Z21" i="1"/>
  <c r="AA21" i="1"/>
  <c r="Z7" i="1"/>
  <c r="AE12" i="1"/>
  <c r="AE11" i="1"/>
  <c r="AE7" i="1"/>
  <c r="Z23" i="1"/>
  <c r="AE14" i="1"/>
  <c r="AB10" i="1"/>
  <c r="AG10" i="1"/>
  <c r="AB9" i="1"/>
  <c r="AG9" i="1"/>
  <c r="AB7" i="1"/>
  <c r="AB21" i="1"/>
  <c r="AB8" i="1"/>
  <c r="AG8" i="1"/>
  <c r="AA7" i="1"/>
  <c r="AB11" i="1"/>
  <c r="AG11" i="1"/>
  <c r="AB19" i="1"/>
  <c r="AG19" i="1" s="1"/>
  <c r="AB14" i="1"/>
  <c r="AG14" i="1"/>
  <c r="AB18" i="1"/>
  <c r="AG18" i="1"/>
  <c r="AB20" i="1"/>
  <c r="AG20" i="1"/>
  <c r="AB12" i="1"/>
  <c r="AG12" i="1"/>
  <c r="AE8" i="1"/>
  <c r="AE10" i="1"/>
  <c r="AE9" i="1"/>
  <c r="AF7" i="1"/>
  <c r="AG7" i="1"/>
  <c r="D8" i="16"/>
  <c r="C8" i="16"/>
  <c r="D5" i="16"/>
  <c r="C5" i="16"/>
  <c r="C28" i="16"/>
  <c r="D6" i="16"/>
  <c r="D7" i="16" s="1"/>
  <c r="D9" i="16" s="1"/>
  <c r="C6" i="16"/>
  <c r="C7" i="16"/>
  <c r="C9" i="16" s="1"/>
  <c r="J11" i="7"/>
  <c r="C7" i="3"/>
  <c r="C6" i="3"/>
  <c r="C12" i="3"/>
  <c r="G9" i="1"/>
  <c r="AC9" i="1" s="1"/>
  <c r="AH9" i="1" s="1"/>
  <c r="G14" i="1"/>
  <c r="AC14" i="1" s="1"/>
  <c r="AH14" i="1" s="1"/>
  <c r="G11" i="1"/>
  <c r="G12" i="1"/>
  <c r="G10" i="1"/>
  <c r="AC10" i="1" s="1"/>
  <c r="AH10" i="1" s="1"/>
  <c r="G15" i="1"/>
  <c r="AC15" i="1"/>
  <c r="AH15" i="1"/>
  <c r="G16" i="1"/>
  <c r="AC16" i="1"/>
  <c r="AH16" i="1"/>
  <c r="G17" i="1"/>
  <c r="AC17" i="1" s="1"/>
  <c r="AH17" i="1" s="1"/>
  <c r="G18" i="1"/>
  <c r="G19" i="1"/>
  <c r="AC19" i="1"/>
  <c r="AH19" i="1" s="1"/>
  <c r="G20" i="1"/>
  <c r="AC20" i="1" s="1"/>
  <c r="AH20" i="1" s="1"/>
  <c r="G21" i="1"/>
  <c r="AC21" i="1"/>
  <c r="AC7" i="1"/>
  <c r="AH7" i="1" s="1"/>
  <c r="K8" i="1"/>
  <c r="K9" i="1"/>
  <c r="K14" i="1"/>
  <c r="K11" i="1"/>
  <c r="K12" i="1"/>
  <c r="K10" i="1"/>
  <c r="K15" i="1"/>
  <c r="K16" i="1"/>
  <c r="K17" i="1"/>
  <c r="K18" i="1"/>
  <c r="K19" i="1"/>
  <c r="K20" i="1"/>
  <c r="K21" i="1"/>
  <c r="K7" i="1"/>
  <c r="AC8" i="1"/>
  <c r="AH8" i="1"/>
  <c r="AC12" i="1"/>
  <c r="AH12" i="1"/>
  <c r="AC11" i="1"/>
  <c r="AH11" i="1"/>
  <c r="I23" i="1"/>
  <c r="B7" i="5" s="1"/>
  <c r="B7" i="3" s="1"/>
  <c r="D5" i="3"/>
  <c r="E5" i="3"/>
  <c r="F5" i="3"/>
  <c r="G5" i="3"/>
  <c r="H5" i="3"/>
  <c r="I5" i="3"/>
  <c r="J5" i="3"/>
  <c r="K5" i="3"/>
  <c r="L5" i="3"/>
  <c r="M5" i="3"/>
  <c r="B22" i="18"/>
  <c r="B24" i="18" s="1"/>
  <c r="D23" i="1"/>
  <c r="D5" i="5"/>
  <c r="E5" i="5"/>
  <c r="E11" i="7"/>
  <c r="A19" i="4"/>
  <c r="B1" i="18"/>
  <c r="B1" i="16"/>
  <c r="B7" i="15"/>
  <c r="D14" i="15" s="1"/>
  <c r="C16" i="15"/>
  <c r="C5" i="15" s="1"/>
  <c r="A21" i="4"/>
  <c r="E1" i="17"/>
  <c r="A18" i="4"/>
  <c r="A17" i="4"/>
  <c r="F1" i="10"/>
  <c r="B1" i="7"/>
  <c r="B1" i="15"/>
  <c r="B1" i="6"/>
  <c r="A20" i="4"/>
  <c r="A13" i="4"/>
  <c r="A14" i="4"/>
  <c r="A12" i="4"/>
  <c r="A11" i="4"/>
  <c r="A10" i="4"/>
  <c r="B1" i="9"/>
  <c r="B1" i="3"/>
  <c r="B1" i="5"/>
  <c r="F5" i="5"/>
  <c r="G5" i="5"/>
  <c r="H5" i="5"/>
  <c r="I5" i="5"/>
  <c r="J5" i="5"/>
  <c r="K5" i="5"/>
  <c r="L5" i="5"/>
  <c r="M5" i="5"/>
  <c r="L22" i="1"/>
  <c r="L14" i="1"/>
  <c r="L18" i="1"/>
  <c r="L12" i="1"/>
  <c r="L10" i="1"/>
  <c r="L21" i="1"/>
  <c r="L7" i="1"/>
  <c r="L11" i="1"/>
  <c r="L9" i="1"/>
  <c r="L20" i="1"/>
  <c r="L15" i="1"/>
  <c r="L16" i="1"/>
  <c r="L17" i="1"/>
  <c r="L19" i="1"/>
  <c r="L8" i="1"/>
  <c r="L23" i="1"/>
  <c r="B23" i="5" s="1"/>
  <c r="B23" i="3" s="1"/>
  <c r="D13" i="15" l="1"/>
  <c r="D12" i="15"/>
  <c r="D11" i="15"/>
  <c r="C36" i="15"/>
  <c r="H36" i="15" s="1"/>
  <c r="D14" i="11"/>
  <c r="D16" i="11" s="1"/>
  <c r="C17" i="16"/>
  <c r="E17" i="16" s="1"/>
  <c r="C18" i="10"/>
  <c r="C19" i="10" s="1"/>
  <c r="F9" i="11"/>
  <c r="B17" i="16"/>
  <c r="C14" i="11"/>
  <c r="C17" i="11" s="1"/>
  <c r="B19" i="16"/>
  <c r="E19" i="16" s="1"/>
  <c r="B18" i="10"/>
  <c r="B19" i="10" s="1"/>
  <c r="D19" i="16"/>
  <c r="D20" i="16"/>
  <c r="D18" i="10"/>
  <c r="D19" i="10" s="1"/>
  <c r="E14" i="11"/>
  <c r="E16" i="11" s="1"/>
  <c r="C20" i="16"/>
  <c r="I126" i="16" s="1"/>
  <c r="J126" i="16" s="1"/>
  <c r="I129" i="16"/>
  <c r="J129" i="16" s="1"/>
  <c r="I131" i="16"/>
  <c r="J131" i="16" s="1"/>
  <c r="D36" i="15"/>
  <c r="G30" i="15"/>
  <c r="G31" i="15" s="1"/>
  <c r="G33" i="15" s="1"/>
  <c r="G34" i="15" s="1"/>
  <c r="G35" i="15" s="1"/>
  <c r="C30" i="15"/>
  <c r="C31" i="15" s="1"/>
  <c r="C33" i="15" s="1"/>
  <c r="C34" i="15" s="1"/>
  <c r="C35" i="7" s="1"/>
  <c r="D15" i="15"/>
  <c r="D16" i="15" s="1"/>
  <c r="C6" i="15"/>
  <c r="C7" i="15" s="1"/>
  <c r="H30" i="15"/>
  <c r="H31" i="15" s="1"/>
  <c r="H33" i="15" s="1"/>
  <c r="H34" i="15" s="1"/>
  <c r="H35" i="15" s="1"/>
  <c r="D30" i="15"/>
  <c r="D31" i="15" s="1"/>
  <c r="C43" i="16"/>
  <c r="I43" i="16"/>
  <c r="M43" i="16"/>
  <c r="K43" i="16"/>
  <c r="S43" i="16"/>
  <c r="W43" i="16"/>
  <c r="E43" i="16"/>
  <c r="H43" i="16" s="1"/>
  <c r="H109" i="16" s="1"/>
  <c r="E20" i="11"/>
  <c r="C42" i="16"/>
  <c r="D42" i="16"/>
  <c r="M42" i="16"/>
  <c r="W42" i="16"/>
  <c r="Y42" i="16"/>
  <c r="S42" i="16"/>
  <c r="E42" i="16"/>
  <c r="V42" i="16" s="1"/>
  <c r="V247" i="16" s="1"/>
  <c r="V248" i="16" s="1"/>
  <c r="V249" i="16" s="1"/>
  <c r="I42" i="16"/>
  <c r="O42" i="16"/>
  <c r="E16" i="10"/>
  <c r="E15" i="10"/>
  <c r="C20" i="11"/>
  <c r="E18" i="16"/>
  <c r="D32" i="16"/>
  <c r="E32" i="16" s="1"/>
  <c r="X32" i="16" s="1"/>
  <c r="I153" i="16"/>
  <c r="J153" i="16" s="1"/>
  <c r="I150" i="16"/>
  <c r="J150" i="16" s="1"/>
  <c r="I144" i="16"/>
  <c r="J144" i="16" s="1"/>
  <c r="I135" i="16"/>
  <c r="J135" i="16" s="1"/>
  <c r="I138" i="16"/>
  <c r="J138" i="16" s="1"/>
  <c r="I132" i="16"/>
  <c r="J132" i="16" s="1"/>
  <c r="I152" i="16"/>
  <c r="J152" i="16" s="1"/>
  <c r="I146" i="16"/>
  <c r="J146" i="16" s="1"/>
  <c r="I125" i="16"/>
  <c r="J125" i="16" s="1"/>
  <c r="I143" i="16"/>
  <c r="J143" i="16" s="1"/>
  <c r="I140" i="16"/>
  <c r="J140" i="16" s="1"/>
  <c r="I134" i="16"/>
  <c r="J134" i="16" s="1"/>
  <c r="I122" i="16"/>
  <c r="J122" i="16" s="1"/>
  <c r="I151" i="16"/>
  <c r="J151" i="16" s="1"/>
  <c r="I148" i="16"/>
  <c r="J148" i="16" s="1"/>
  <c r="I145" i="16"/>
  <c r="J145" i="16" s="1"/>
  <c r="I127" i="16"/>
  <c r="J127" i="16" s="1"/>
  <c r="I142" i="16"/>
  <c r="J142" i="16" s="1"/>
  <c r="I139" i="16"/>
  <c r="J139" i="16" s="1"/>
  <c r="I133" i="16"/>
  <c r="J133" i="16" s="1"/>
  <c r="E20" i="10"/>
  <c r="E17" i="11"/>
  <c r="E19" i="11" s="1"/>
  <c r="I147" i="16"/>
  <c r="J147" i="16" s="1"/>
  <c r="I136" i="16"/>
  <c r="J136" i="16" s="1"/>
  <c r="I149" i="16"/>
  <c r="J149" i="16" s="1"/>
  <c r="I141" i="16"/>
  <c r="J141" i="16" s="1"/>
  <c r="C32" i="16"/>
  <c r="C44" i="16" s="1"/>
  <c r="C11" i="9"/>
  <c r="E11" i="9" s="1"/>
  <c r="B14" i="5"/>
  <c r="B15" i="5" s="1"/>
  <c r="K14" i="5"/>
  <c r="G14" i="5"/>
  <c r="I10" i="5"/>
  <c r="M23" i="1"/>
  <c r="Q23" i="1" s="1"/>
  <c r="D34" i="16"/>
  <c r="E34" i="16" s="1"/>
  <c r="J34" i="16" s="1"/>
  <c r="H14" i="5"/>
  <c r="B8" i="5"/>
  <c r="L8" i="5" s="1"/>
  <c r="J14" i="5"/>
  <c r="D14" i="5"/>
  <c r="D15" i="5" s="1"/>
  <c r="L14" i="5"/>
  <c r="O23" i="1"/>
  <c r="B21" i="5" s="1"/>
  <c r="B21" i="3" s="1"/>
  <c r="D33" i="16"/>
  <c r="E33" i="16" s="1"/>
  <c r="J33" i="16" s="1"/>
  <c r="D39" i="16"/>
  <c r="E39" i="16" s="1"/>
  <c r="N39" i="16" s="1"/>
  <c r="D41" i="16"/>
  <c r="E41" i="16" s="1"/>
  <c r="H41" i="16" s="1"/>
  <c r="S23" i="1"/>
  <c r="C38" i="15" s="1"/>
  <c r="C40" i="15" s="1"/>
  <c r="B24" i="5"/>
  <c r="B24" i="3" s="1"/>
  <c r="AE23" i="1"/>
  <c r="G7" i="5"/>
  <c r="G7" i="3" s="1"/>
  <c r="B25" i="5"/>
  <c r="B25" i="3" s="1"/>
  <c r="I7" i="5"/>
  <c r="I7" i="3" s="1"/>
  <c r="L7" i="5"/>
  <c r="L7" i="3" s="1"/>
  <c r="E7" i="5"/>
  <c r="E7" i="3" s="1"/>
  <c r="F7" i="5"/>
  <c r="F7" i="3" s="1"/>
  <c r="H7" i="5"/>
  <c r="H7" i="3" s="1"/>
  <c r="J7" i="5"/>
  <c r="J7" i="3" s="1"/>
  <c r="K7" i="5"/>
  <c r="K7" i="3" s="1"/>
  <c r="M7" i="5"/>
  <c r="M7" i="3" s="1"/>
  <c r="B39" i="10"/>
  <c r="C39" i="10" s="1"/>
  <c r="D39" i="10" s="1"/>
  <c r="F39" i="10" s="1"/>
  <c r="H39" i="10" s="1"/>
  <c r="J39" i="10" s="1"/>
  <c r="B6" i="5"/>
  <c r="B34" i="3"/>
  <c r="D7" i="5"/>
  <c r="D7" i="3" s="1"/>
  <c r="B12" i="3"/>
  <c r="H12" i="3" s="1"/>
  <c r="H14" i="3" s="1"/>
  <c r="H31" i="3" s="1"/>
  <c r="F10" i="5"/>
  <c r="B11" i="3"/>
  <c r="H38" i="15"/>
  <c r="H40" i="15" s="1"/>
  <c r="E15" i="11"/>
  <c r="D15" i="11"/>
  <c r="D17" i="11"/>
  <c r="D19" i="11" s="1"/>
  <c r="AC13" i="1"/>
  <c r="AH13" i="1" s="1"/>
  <c r="AF23" i="1"/>
  <c r="D35" i="16"/>
  <c r="E35" i="16" s="1"/>
  <c r="AG23" i="1"/>
  <c r="AB23" i="1"/>
  <c r="AC18" i="1"/>
  <c r="AH18" i="1" s="1"/>
  <c r="AA23" i="1"/>
  <c r="E36" i="15" l="1"/>
  <c r="G36" i="15"/>
  <c r="G37" i="15" s="1"/>
  <c r="G39" i="15" s="1"/>
  <c r="E9" i="7" s="1"/>
  <c r="H37" i="15"/>
  <c r="H39" i="15" s="1"/>
  <c r="J9" i="7" s="1"/>
  <c r="D36" i="16"/>
  <c r="E36" i="16" s="1"/>
  <c r="V36" i="16" s="1"/>
  <c r="D31" i="16"/>
  <c r="E31" i="16" s="1"/>
  <c r="F31" i="16" s="1"/>
  <c r="D40" i="16"/>
  <c r="E40" i="16" s="1"/>
  <c r="T40" i="16" s="1"/>
  <c r="I128" i="16"/>
  <c r="J128" i="16" s="1"/>
  <c r="E18" i="10"/>
  <c r="D38" i="16"/>
  <c r="E38" i="16" s="1"/>
  <c r="V38" i="16" s="1"/>
  <c r="C15" i="11"/>
  <c r="I130" i="16"/>
  <c r="J130" i="16" s="1"/>
  <c r="C16" i="11"/>
  <c r="C19" i="11" s="1"/>
  <c r="F21" i="11" s="1"/>
  <c r="N43" i="16"/>
  <c r="N252" i="16" s="1"/>
  <c r="N253" i="16" s="1"/>
  <c r="N254" i="16" s="1"/>
  <c r="D30" i="16"/>
  <c r="E30" i="16" s="1"/>
  <c r="T30" i="16" s="1"/>
  <c r="E19" i="10"/>
  <c r="E40" i="10" s="1"/>
  <c r="D28" i="16"/>
  <c r="E28" i="16" s="1"/>
  <c r="X28" i="16" s="1"/>
  <c r="I123" i="16"/>
  <c r="J123" i="16" s="1"/>
  <c r="I137" i="16"/>
  <c r="J137" i="16" s="1"/>
  <c r="D29" i="16"/>
  <c r="E29" i="16" s="1"/>
  <c r="X29" i="16" s="1"/>
  <c r="I121" i="16"/>
  <c r="J121" i="16" s="1"/>
  <c r="B165" i="16" s="1"/>
  <c r="I124" i="16"/>
  <c r="J124" i="16" s="1"/>
  <c r="D37" i="16"/>
  <c r="E37" i="16" s="1"/>
  <c r="X37" i="16" s="1"/>
  <c r="B20" i="5"/>
  <c r="M20" i="5" s="1"/>
  <c r="E8" i="7" s="1"/>
  <c r="E38" i="15"/>
  <c r="E40" i="15" s="1"/>
  <c r="J32" i="16"/>
  <c r="H32" i="16"/>
  <c r="V32" i="16"/>
  <c r="X59" i="16" s="1"/>
  <c r="R32" i="16"/>
  <c r="H89" i="16"/>
  <c r="C35" i="15"/>
  <c r="C37" i="15" s="1"/>
  <c r="C39" i="15" s="1"/>
  <c r="C9" i="7" s="1"/>
  <c r="E35" i="7"/>
  <c r="J35" i="7"/>
  <c r="R42" i="16"/>
  <c r="R88" i="16" s="1"/>
  <c r="T32" i="16"/>
  <c r="T43" i="16"/>
  <c r="P43" i="16"/>
  <c r="P89" i="16" s="1"/>
  <c r="J43" i="16"/>
  <c r="J109" i="16" s="1"/>
  <c r="R43" i="16"/>
  <c r="R109" i="16" s="1"/>
  <c r="C165" i="16"/>
  <c r="V43" i="16"/>
  <c r="V89" i="16" s="1"/>
  <c r="J42" i="16"/>
  <c r="J88" i="16" s="1"/>
  <c r="T42" i="16"/>
  <c r="V69" i="16" s="1"/>
  <c r="X43" i="16"/>
  <c r="X252" i="16" s="1"/>
  <c r="X253" i="16" s="1"/>
  <c r="X254" i="16" s="1"/>
  <c r="L40" i="16"/>
  <c r="P32" i="16"/>
  <c r="F43" i="16"/>
  <c r="F109" i="16" s="1"/>
  <c r="L43" i="16"/>
  <c r="L109" i="16" s="1"/>
  <c r="H252" i="16"/>
  <c r="H253" i="16" s="1"/>
  <c r="H254" i="16" s="1"/>
  <c r="G15" i="5"/>
  <c r="H42" i="16"/>
  <c r="H108" i="16" s="1"/>
  <c r="X42" i="16"/>
  <c r="X69" i="16" s="1"/>
  <c r="P42" i="16"/>
  <c r="P108" i="16" s="1"/>
  <c r="F32" i="16"/>
  <c r="F59" i="16" s="1"/>
  <c r="K15" i="5"/>
  <c r="V88" i="16"/>
  <c r="F42" i="16"/>
  <c r="F88" i="16" s="1"/>
  <c r="V108" i="16"/>
  <c r="N32" i="16"/>
  <c r="D8" i="5"/>
  <c r="N42" i="16"/>
  <c r="N88" i="16" s="1"/>
  <c r="L42" i="16"/>
  <c r="H8" i="5"/>
  <c r="J10" i="5"/>
  <c r="I8" i="5"/>
  <c r="J8" i="5"/>
  <c r="G10" i="5"/>
  <c r="R36" i="16"/>
  <c r="E42" i="10"/>
  <c r="L32" i="16"/>
  <c r="X34" i="16"/>
  <c r="L36" i="16"/>
  <c r="P36" i="16"/>
  <c r="H34" i="16"/>
  <c r="J61" i="16" s="1"/>
  <c r="L39" i="16"/>
  <c r="N66" i="16" s="1"/>
  <c r="V34" i="16"/>
  <c r="F34" i="16"/>
  <c r="F61" i="16" s="1"/>
  <c r="R40" i="16"/>
  <c r="T67" i="16" s="1"/>
  <c r="P40" i="16"/>
  <c r="J40" i="16"/>
  <c r="P34" i="16"/>
  <c r="T34" i="16"/>
  <c r="N34" i="16"/>
  <c r="L34" i="16"/>
  <c r="L61" i="16" s="1"/>
  <c r="H10" i="5"/>
  <c r="T39" i="16"/>
  <c r="J15" i="5"/>
  <c r="F39" i="16"/>
  <c r="J41" i="16"/>
  <c r="J68" i="16" s="1"/>
  <c r="E8" i="5"/>
  <c r="G8" i="5"/>
  <c r="M8" i="5"/>
  <c r="C16" i="9" s="1"/>
  <c r="C22" i="9" s="1"/>
  <c r="L10" i="5"/>
  <c r="H15" i="5"/>
  <c r="K10" i="5"/>
  <c r="B8" i="3"/>
  <c r="D8" i="3" s="1"/>
  <c r="K8" i="5"/>
  <c r="E23" i="1"/>
  <c r="B16" i="16" s="1"/>
  <c r="B19" i="5"/>
  <c r="B19" i="3" s="1"/>
  <c r="D10" i="5"/>
  <c r="X39" i="16"/>
  <c r="R34" i="16"/>
  <c r="D38" i="15"/>
  <c r="D40" i="15" s="1"/>
  <c r="I10" i="7" s="1"/>
  <c r="G38" i="15"/>
  <c r="G40" i="15" s="1"/>
  <c r="K23" i="1"/>
  <c r="B17" i="5" s="1"/>
  <c r="B17" i="3" s="1"/>
  <c r="B18" i="5"/>
  <c r="B18" i="3" s="1"/>
  <c r="F8" i="5"/>
  <c r="H39" i="16"/>
  <c r="R39" i="16"/>
  <c r="X33" i="16"/>
  <c r="J39" i="16"/>
  <c r="L33" i="16"/>
  <c r="L60" i="16" s="1"/>
  <c r="P39" i="16"/>
  <c r="P66" i="16" s="1"/>
  <c r="V39" i="16"/>
  <c r="N41" i="16"/>
  <c r="F33" i="16"/>
  <c r="F60" i="16" s="1"/>
  <c r="P33" i="16"/>
  <c r="X41" i="16"/>
  <c r="V33" i="16"/>
  <c r="H33" i="16"/>
  <c r="J60" i="16" s="1"/>
  <c r="N33" i="16"/>
  <c r="T33" i="16"/>
  <c r="R33" i="16"/>
  <c r="AH23" i="1"/>
  <c r="AH24" i="1" s="1"/>
  <c r="L41" i="16"/>
  <c r="P41" i="16"/>
  <c r="V41" i="16"/>
  <c r="T41" i="16"/>
  <c r="F41" i="16"/>
  <c r="H68" i="16" s="1"/>
  <c r="R41" i="16"/>
  <c r="G12" i="3"/>
  <c r="G14" i="3" s="1"/>
  <c r="G31" i="3" s="1"/>
  <c r="D21" i="5"/>
  <c r="D27" i="5" s="1"/>
  <c r="K21" i="5"/>
  <c r="K27" i="5" s="1"/>
  <c r="K12" i="3"/>
  <c r="E12" i="3"/>
  <c r="L12" i="3"/>
  <c r="J12" i="3"/>
  <c r="I12" i="3"/>
  <c r="I35" i="3" s="1"/>
  <c r="F23" i="1"/>
  <c r="C16" i="16" s="1"/>
  <c r="F12" i="3"/>
  <c r="L21" i="5"/>
  <c r="L15" i="5"/>
  <c r="D12" i="3"/>
  <c r="G21" i="5"/>
  <c r="B27" i="5"/>
  <c r="M21" i="5"/>
  <c r="D8" i="7" s="1"/>
  <c r="F21" i="5"/>
  <c r="M12" i="3"/>
  <c r="M35" i="3" s="1"/>
  <c r="C45" i="11" s="1"/>
  <c r="J21" i="5"/>
  <c r="H21" i="5"/>
  <c r="I21" i="5"/>
  <c r="I27" i="5" s="1"/>
  <c r="E21" i="5"/>
  <c r="F14" i="5"/>
  <c r="E14" i="5"/>
  <c r="E15" i="5" s="1"/>
  <c r="E11" i="3"/>
  <c r="L11" i="3"/>
  <c r="D11" i="3"/>
  <c r="H11" i="3"/>
  <c r="H10" i="3" s="1"/>
  <c r="H34" i="3" s="1"/>
  <c r="G11" i="3"/>
  <c r="I11" i="3"/>
  <c r="J11" i="3"/>
  <c r="M11" i="3"/>
  <c r="K11" i="3"/>
  <c r="F11" i="3"/>
  <c r="M14" i="5"/>
  <c r="M15" i="5" s="1"/>
  <c r="E10" i="5"/>
  <c r="B14" i="3"/>
  <c r="B15" i="3" s="1"/>
  <c r="B35" i="3"/>
  <c r="G6" i="5"/>
  <c r="G6" i="3" s="1"/>
  <c r="H6" i="5"/>
  <c r="H6" i="3" s="1"/>
  <c r="B6" i="3"/>
  <c r="F6" i="5"/>
  <c r="F6" i="3" s="1"/>
  <c r="I6" i="5"/>
  <c r="I6" i="3" s="1"/>
  <c r="L6" i="5"/>
  <c r="L6" i="3" s="1"/>
  <c r="M6" i="5"/>
  <c r="M6" i="3" s="1"/>
  <c r="E6" i="5"/>
  <c r="E6" i="3" s="1"/>
  <c r="J6" i="5"/>
  <c r="J6" i="3" s="1"/>
  <c r="D6" i="5"/>
  <c r="D6" i="3" s="1"/>
  <c r="K6" i="5"/>
  <c r="K6" i="3" s="1"/>
  <c r="C7" i="7"/>
  <c r="C32" i="7"/>
  <c r="M10" i="5"/>
  <c r="J21" i="3"/>
  <c r="I21" i="3"/>
  <c r="G21" i="3"/>
  <c r="L21" i="3"/>
  <c r="H21" i="3"/>
  <c r="E21" i="3"/>
  <c r="M21" i="3"/>
  <c r="I8" i="7" s="1"/>
  <c r="D21" i="3"/>
  <c r="F21" i="3"/>
  <c r="K21" i="3"/>
  <c r="C10" i="7"/>
  <c r="H10" i="7"/>
  <c r="H35" i="3"/>
  <c r="H32" i="3"/>
  <c r="H15" i="3"/>
  <c r="F58" i="16"/>
  <c r="AF24" i="1"/>
  <c r="H35" i="7"/>
  <c r="AG24" i="1"/>
  <c r="V35" i="16"/>
  <c r="F35" i="16"/>
  <c r="T35" i="16"/>
  <c r="R35" i="16"/>
  <c r="P35" i="16"/>
  <c r="N35" i="16"/>
  <c r="L35" i="16"/>
  <c r="H35" i="16"/>
  <c r="X35" i="16"/>
  <c r="J35" i="16"/>
  <c r="AC23" i="1"/>
  <c r="X40" i="16" l="1"/>
  <c r="F40" i="16"/>
  <c r="F67" i="16" s="1"/>
  <c r="X36" i="16"/>
  <c r="X63" i="16" s="1"/>
  <c r="V31" i="16"/>
  <c r="H31" i="16"/>
  <c r="H58" i="16" s="1"/>
  <c r="V40" i="16"/>
  <c r="V67" i="16" s="1"/>
  <c r="N40" i="16"/>
  <c r="H40" i="16"/>
  <c r="L29" i="16"/>
  <c r="T36" i="16"/>
  <c r="T63" i="16" s="1"/>
  <c r="J31" i="16"/>
  <c r="J58" i="16" s="1"/>
  <c r="H38" i="16"/>
  <c r="H36" i="16"/>
  <c r="F29" i="16"/>
  <c r="F56" i="16" s="1"/>
  <c r="R31" i="16"/>
  <c r="J36" i="16"/>
  <c r="V29" i="16"/>
  <c r="X56" i="16" s="1"/>
  <c r="T31" i="16"/>
  <c r="T58" i="16" s="1"/>
  <c r="F38" i="16"/>
  <c r="X31" i="16"/>
  <c r="P31" i="16"/>
  <c r="R58" i="16" s="1"/>
  <c r="N31" i="16"/>
  <c r="N109" i="16"/>
  <c r="R38" i="16"/>
  <c r="F36" i="16"/>
  <c r="F63" i="16" s="1"/>
  <c r="N36" i="16"/>
  <c r="P63" i="16" s="1"/>
  <c r="L31" i="16"/>
  <c r="L38" i="16"/>
  <c r="H29" i="16"/>
  <c r="X38" i="16"/>
  <c r="N28" i="16"/>
  <c r="J38" i="16"/>
  <c r="J65" i="16" s="1"/>
  <c r="R28" i="16"/>
  <c r="N38" i="16"/>
  <c r="N65" i="16" s="1"/>
  <c r="P29" i="16"/>
  <c r="P56" i="16" s="1"/>
  <c r="N29" i="16"/>
  <c r="D165" i="16"/>
  <c r="G165" i="16" s="1"/>
  <c r="T38" i="16"/>
  <c r="T65" i="16" s="1"/>
  <c r="P38" i="16"/>
  <c r="L28" i="16"/>
  <c r="P28" i="16"/>
  <c r="R89" i="16"/>
  <c r="E41" i="10"/>
  <c r="N89" i="16"/>
  <c r="J30" i="16"/>
  <c r="R29" i="16"/>
  <c r="P30" i="16"/>
  <c r="T29" i="16"/>
  <c r="J29" i="16"/>
  <c r="L56" i="16" s="1"/>
  <c r="L30" i="16"/>
  <c r="R30" i="16"/>
  <c r="T57" i="16" s="1"/>
  <c r="H30" i="16"/>
  <c r="X30" i="16"/>
  <c r="V30" i="16"/>
  <c r="V57" i="16" s="1"/>
  <c r="N30" i="16"/>
  <c r="J37" i="16"/>
  <c r="T37" i="16"/>
  <c r="H37" i="16"/>
  <c r="F30" i="16"/>
  <c r="F57" i="16" s="1"/>
  <c r="E44" i="16"/>
  <c r="N37" i="16"/>
  <c r="R37" i="16"/>
  <c r="F37" i="16"/>
  <c r="F64" i="16" s="1"/>
  <c r="L37" i="16"/>
  <c r="L64" i="16" s="1"/>
  <c r="P37" i="16"/>
  <c r="V37" i="16"/>
  <c r="X64" i="16" s="1"/>
  <c r="R108" i="16"/>
  <c r="R252" i="16"/>
  <c r="R253" i="16" s="1"/>
  <c r="R254" i="16" s="1"/>
  <c r="H28" i="16"/>
  <c r="V28" i="16"/>
  <c r="X55" i="16" s="1"/>
  <c r="F28" i="16"/>
  <c r="J28" i="16"/>
  <c r="L55" i="16" s="1"/>
  <c r="T70" i="16"/>
  <c r="R247" i="16"/>
  <c r="R248" i="16" s="1"/>
  <c r="R249" i="16" s="1"/>
  <c r="T28" i="16"/>
  <c r="V59" i="16"/>
  <c r="H88" i="16"/>
  <c r="H247" i="16"/>
  <c r="H248" i="16" s="1"/>
  <c r="H249" i="16" s="1"/>
  <c r="P59" i="16"/>
  <c r="I18" i="5"/>
  <c r="I24" i="5" s="1"/>
  <c r="J59" i="16"/>
  <c r="R59" i="16"/>
  <c r="L58" i="16"/>
  <c r="L59" i="16"/>
  <c r="N67" i="16"/>
  <c r="J8" i="3"/>
  <c r="I8" i="3"/>
  <c r="C21" i="9"/>
  <c r="G18" i="5"/>
  <c r="G24" i="5" s="1"/>
  <c r="M18" i="5"/>
  <c r="C8" i="7" s="1"/>
  <c r="C12" i="7" s="1"/>
  <c r="C17" i="7" s="1"/>
  <c r="E18" i="5"/>
  <c r="E24" i="5" s="1"/>
  <c r="I20" i="5"/>
  <c r="I26" i="5" s="1"/>
  <c r="I25" i="5" s="1"/>
  <c r="I19" i="5" s="1"/>
  <c r="B26" i="5"/>
  <c r="F8" i="3"/>
  <c r="H8" i="3"/>
  <c r="F18" i="5"/>
  <c r="F24" i="5" s="1"/>
  <c r="E8" i="3"/>
  <c r="L18" i="5"/>
  <c r="L24" i="5" s="1"/>
  <c r="K8" i="3"/>
  <c r="K20" i="5"/>
  <c r="K26" i="5" s="1"/>
  <c r="K25" i="5" s="1"/>
  <c r="K19" i="5" s="1"/>
  <c r="G27" i="5"/>
  <c r="E20" i="5"/>
  <c r="E26" i="5" s="1"/>
  <c r="G20" i="5"/>
  <c r="G26" i="5" s="1"/>
  <c r="D20" i="5"/>
  <c r="D26" i="5" s="1"/>
  <c r="D25" i="5" s="1"/>
  <c r="J18" i="5"/>
  <c r="J24" i="5" s="1"/>
  <c r="L8" i="3"/>
  <c r="L20" i="5"/>
  <c r="L26" i="5" s="1"/>
  <c r="B20" i="3"/>
  <c r="F20" i="3" s="1"/>
  <c r="E13" i="6" s="1"/>
  <c r="H20" i="5"/>
  <c r="H26" i="5" s="1"/>
  <c r="J20" i="5"/>
  <c r="J26" i="5" s="1"/>
  <c r="F20" i="5"/>
  <c r="F26" i="5" s="1"/>
  <c r="J252" i="16"/>
  <c r="J253" i="16" s="1"/>
  <c r="J254" i="16" s="1"/>
  <c r="J255" i="16" s="1"/>
  <c r="J70" i="16"/>
  <c r="J89" i="16"/>
  <c r="L69" i="16"/>
  <c r="J247" i="16"/>
  <c r="J248" i="16" s="1"/>
  <c r="J249" i="16" s="1"/>
  <c r="T109" i="16"/>
  <c r="T59" i="16"/>
  <c r="T89" i="16"/>
  <c r="H59" i="16"/>
  <c r="N69" i="16"/>
  <c r="R70" i="16"/>
  <c r="J108" i="16"/>
  <c r="P252" i="16"/>
  <c r="P253" i="16" s="1"/>
  <c r="P254" i="16" s="1"/>
  <c r="P255" i="16" s="1"/>
  <c r="L89" i="16"/>
  <c r="X247" i="16"/>
  <c r="X248" i="16" s="1"/>
  <c r="X249" i="16" s="1"/>
  <c r="X250" i="16" s="1"/>
  <c r="X109" i="16"/>
  <c r="V109" i="16"/>
  <c r="T252" i="16"/>
  <c r="T253" i="16" s="1"/>
  <c r="T254" i="16" s="1"/>
  <c r="X70" i="16"/>
  <c r="X58" i="16"/>
  <c r="H9" i="7"/>
  <c r="L252" i="16"/>
  <c r="L253" i="16" s="1"/>
  <c r="L254" i="16" s="1"/>
  <c r="P109" i="16"/>
  <c r="X89" i="16"/>
  <c r="T69" i="16"/>
  <c r="H67" i="16"/>
  <c r="N63" i="16"/>
  <c r="J69" i="16"/>
  <c r="P70" i="16"/>
  <c r="T88" i="16"/>
  <c r="N59" i="16"/>
  <c r="T108" i="16"/>
  <c r="N70" i="16"/>
  <c r="X88" i="16"/>
  <c r="T247" i="16"/>
  <c r="T248" i="16" s="1"/>
  <c r="T249" i="16" s="1"/>
  <c r="V252" i="16"/>
  <c r="V253" i="16" s="1"/>
  <c r="V254" i="16" s="1"/>
  <c r="X108" i="16"/>
  <c r="J66" i="16"/>
  <c r="F70" i="16"/>
  <c r="V70" i="16"/>
  <c r="L70" i="16"/>
  <c r="H70" i="16"/>
  <c r="F252" i="16"/>
  <c r="F253" i="16" s="1"/>
  <c r="F254" i="16" s="1"/>
  <c r="H255" i="16" s="1"/>
  <c r="X67" i="16"/>
  <c r="F89" i="16"/>
  <c r="R69" i="16"/>
  <c r="H69" i="16"/>
  <c r="P247" i="16"/>
  <c r="P248" i="16" s="1"/>
  <c r="P249" i="16" s="1"/>
  <c r="P88" i="16"/>
  <c r="J27" i="5"/>
  <c r="N108" i="16"/>
  <c r="L108" i="16"/>
  <c r="L247" i="16"/>
  <c r="L248" i="16" s="1"/>
  <c r="L249" i="16" s="1"/>
  <c r="L88" i="16"/>
  <c r="P69" i="16"/>
  <c r="L63" i="16"/>
  <c r="F108" i="16"/>
  <c r="N247" i="16"/>
  <c r="N248" i="16" s="1"/>
  <c r="N249" i="16" s="1"/>
  <c r="F69" i="16"/>
  <c r="E10" i="7"/>
  <c r="E12" i="7" s="1"/>
  <c r="F247" i="16"/>
  <c r="F248" i="16" s="1"/>
  <c r="F249" i="16" s="1"/>
  <c r="F250" i="16" s="1"/>
  <c r="D10" i="7"/>
  <c r="K18" i="5"/>
  <c r="K24" i="5" s="1"/>
  <c r="D18" i="5"/>
  <c r="D24" i="5" s="1"/>
  <c r="H27" i="5"/>
  <c r="J67" i="16"/>
  <c r="J10" i="7"/>
  <c r="C19" i="9"/>
  <c r="X61" i="16"/>
  <c r="H18" i="5"/>
  <c r="H24" i="5" s="1"/>
  <c r="R63" i="16"/>
  <c r="J63" i="16"/>
  <c r="X60" i="16"/>
  <c r="V61" i="16"/>
  <c r="H61" i="16"/>
  <c r="P68" i="16"/>
  <c r="R67" i="16"/>
  <c r="V66" i="16"/>
  <c r="T66" i="16"/>
  <c r="L66" i="16"/>
  <c r="N56" i="16"/>
  <c r="H66" i="16"/>
  <c r="R61" i="16"/>
  <c r="P67" i="16"/>
  <c r="T61" i="16"/>
  <c r="N61" i="16"/>
  <c r="F66" i="16"/>
  <c r="L67" i="16"/>
  <c r="P61" i="16"/>
  <c r="X66" i="16"/>
  <c r="M8" i="3"/>
  <c r="D16" i="9" s="1"/>
  <c r="D21" i="9" s="1"/>
  <c r="N60" i="16"/>
  <c r="G8" i="3"/>
  <c r="C23" i="9"/>
  <c r="C20" i="9"/>
  <c r="N68" i="16"/>
  <c r="T68" i="16"/>
  <c r="C18" i="9"/>
  <c r="E14" i="3"/>
  <c r="G23" i="1"/>
  <c r="D16" i="16" s="1"/>
  <c r="V68" i="16"/>
  <c r="X68" i="16"/>
  <c r="F68" i="16"/>
  <c r="H60" i="16"/>
  <c r="R66" i="16"/>
  <c r="R60" i="16"/>
  <c r="P60" i="16"/>
  <c r="L68" i="16"/>
  <c r="T60" i="16"/>
  <c r="R68" i="16"/>
  <c r="E27" i="5"/>
  <c r="V60" i="16"/>
  <c r="K10" i="3"/>
  <c r="K34" i="3" s="1"/>
  <c r="I14" i="3"/>
  <c r="K14" i="3"/>
  <c r="M10" i="3"/>
  <c r="M34" i="3" s="1"/>
  <c r="K35" i="3"/>
  <c r="I10" i="3"/>
  <c r="I34" i="3" s="1"/>
  <c r="E10" i="3"/>
  <c r="E34" i="3" s="1"/>
  <c r="G35" i="3"/>
  <c r="D10" i="3"/>
  <c r="D34" i="3" s="1"/>
  <c r="F10" i="3"/>
  <c r="F34" i="3" s="1"/>
  <c r="L10" i="3"/>
  <c r="L34" i="3" s="1"/>
  <c r="L27" i="5"/>
  <c r="F35" i="3"/>
  <c r="E35" i="3"/>
  <c r="L35" i="3"/>
  <c r="G10" i="3"/>
  <c r="G34" i="3" s="1"/>
  <c r="F14" i="3"/>
  <c r="L14" i="3"/>
  <c r="G32" i="3"/>
  <c r="M14" i="3"/>
  <c r="J14" i="3"/>
  <c r="J35" i="3"/>
  <c r="J10" i="3"/>
  <c r="J34" i="3" s="1"/>
  <c r="C40" i="11"/>
  <c r="C16" i="7"/>
  <c r="D14" i="3"/>
  <c r="D31" i="3" s="1"/>
  <c r="D35" i="3"/>
  <c r="B27" i="3"/>
  <c r="D32" i="7"/>
  <c r="D34" i="7" s="1"/>
  <c r="D7" i="7"/>
  <c r="D14" i="7" s="1"/>
  <c r="M27" i="5"/>
  <c r="F15" i="5"/>
  <c r="F27" i="5" s="1"/>
  <c r="H7" i="7"/>
  <c r="H16" i="7" s="1"/>
  <c r="H32" i="7"/>
  <c r="H34" i="7" s="1"/>
  <c r="H36" i="7" s="1"/>
  <c r="M26" i="5"/>
  <c r="B32" i="3"/>
  <c r="E32" i="7"/>
  <c r="E34" i="7" s="1"/>
  <c r="E36" i="7" s="1"/>
  <c r="E7" i="7"/>
  <c r="E15" i="7" s="1"/>
  <c r="I18" i="3"/>
  <c r="I24" i="3" s="1"/>
  <c r="J18" i="3"/>
  <c r="J24" i="3" s="1"/>
  <c r="G18" i="3"/>
  <c r="G24" i="3" s="1"/>
  <c r="K18" i="3"/>
  <c r="K24" i="3" s="1"/>
  <c r="F18" i="3"/>
  <c r="F24" i="3" s="1"/>
  <c r="H18" i="3"/>
  <c r="H24" i="3" s="1"/>
  <c r="M18" i="3"/>
  <c r="L18" i="3"/>
  <c r="L24" i="3" s="1"/>
  <c r="D18" i="3"/>
  <c r="D24" i="3" s="1"/>
  <c r="E18" i="3"/>
  <c r="E24" i="3" s="1"/>
  <c r="C34" i="7"/>
  <c r="E30" i="11"/>
  <c r="F30" i="11" s="1"/>
  <c r="E31" i="11"/>
  <c r="F31" i="11" s="1"/>
  <c r="E32" i="11"/>
  <c r="F32" i="11" s="1"/>
  <c r="E29" i="11"/>
  <c r="F29" i="11" s="1"/>
  <c r="H27" i="3"/>
  <c r="H65" i="16"/>
  <c r="F65" i="16"/>
  <c r="R65" i="16"/>
  <c r="X65" i="16"/>
  <c r="C15" i="7"/>
  <c r="H62" i="16"/>
  <c r="L62" i="16"/>
  <c r="N62" i="16"/>
  <c r="P62" i="16"/>
  <c r="R62" i="16"/>
  <c r="T62" i="16"/>
  <c r="J62" i="16"/>
  <c r="F62" i="16"/>
  <c r="X62" i="16"/>
  <c r="V62" i="16"/>
  <c r="V63" i="16" l="1"/>
  <c r="P58" i="16"/>
  <c r="H56" i="16"/>
  <c r="L65" i="16"/>
  <c r="V65" i="16"/>
  <c r="P65" i="16"/>
  <c r="N55" i="16"/>
  <c r="V44" i="16"/>
  <c r="K8" i="6" s="1"/>
  <c r="K10" i="6" s="1"/>
  <c r="X57" i="16"/>
  <c r="X71" i="16" s="1"/>
  <c r="V58" i="16"/>
  <c r="V55" i="16"/>
  <c r="R56" i="16"/>
  <c r="N58" i="16"/>
  <c r="T64" i="16"/>
  <c r="V56" i="16"/>
  <c r="T56" i="16"/>
  <c r="P57" i="16"/>
  <c r="H63" i="16"/>
  <c r="J32" i="3"/>
  <c r="J31" i="3"/>
  <c r="K15" i="3"/>
  <c r="K27" i="3" s="1"/>
  <c r="K31" i="3"/>
  <c r="E15" i="3"/>
  <c r="E27" i="3" s="1"/>
  <c r="E31" i="3"/>
  <c r="L15" i="3"/>
  <c r="L31" i="3"/>
  <c r="I15" i="3"/>
  <c r="I27" i="3" s="1"/>
  <c r="I31" i="3"/>
  <c r="F15" i="3"/>
  <c r="F27" i="3" s="1"/>
  <c r="F31" i="3"/>
  <c r="M15" i="3"/>
  <c r="M27" i="3" s="1"/>
  <c r="M31" i="3"/>
  <c r="E25" i="10" s="1"/>
  <c r="C25" i="10" s="1"/>
  <c r="P55" i="16"/>
  <c r="R55" i="16"/>
  <c r="J56" i="16"/>
  <c r="R57" i="16"/>
  <c r="N57" i="16"/>
  <c r="H44" i="16"/>
  <c r="D8" i="6" s="1"/>
  <c r="D10" i="6" s="1"/>
  <c r="V64" i="16"/>
  <c r="N44" i="16"/>
  <c r="G8" i="6" s="1"/>
  <c r="G26" i="6" s="1"/>
  <c r="L57" i="16"/>
  <c r="L71" i="16" s="1"/>
  <c r="T44" i="16"/>
  <c r="J8" i="6" s="1"/>
  <c r="J10" i="6" s="1"/>
  <c r="T250" i="16"/>
  <c r="J64" i="16"/>
  <c r="R250" i="16"/>
  <c r="R44" i="16"/>
  <c r="I8" i="6" s="1"/>
  <c r="I25" i="6" s="1"/>
  <c r="J44" i="16"/>
  <c r="E8" i="6" s="1"/>
  <c r="E25" i="6" s="1"/>
  <c r="H25" i="5"/>
  <c r="H19" i="5" s="1"/>
  <c r="J57" i="16"/>
  <c r="X44" i="16"/>
  <c r="L6" i="18" s="1"/>
  <c r="L19" i="18" s="1"/>
  <c r="L44" i="16"/>
  <c r="F8" i="6" s="1"/>
  <c r="F26" i="6" s="1"/>
  <c r="F44" i="16"/>
  <c r="C8" i="6" s="1"/>
  <c r="C10" i="6" s="1"/>
  <c r="H57" i="16"/>
  <c r="H55" i="16"/>
  <c r="F55" i="16"/>
  <c r="F71" i="16" s="1"/>
  <c r="H64" i="16"/>
  <c r="P64" i="16"/>
  <c r="N64" i="16"/>
  <c r="N71" i="16" s="1"/>
  <c r="R64" i="16"/>
  <c r="P44" i="16"/>
  <c r="H6" i="18" s="1"/>
  <c r="H17" i="18" s="1"/>
  <c r="T255" i="16"/>
  <c r="T55" i="16"/>
  <c r="J55" i="16"/>
  <c r="J250" i="16"/>
  <c r="J25" i="5"/>
  <c r="J19" i="5" s="1"/>
  <c r="M24" i="5"/>
  <c r="E21" i="9"/>
  <c r="G25" i="5"/>
  <c r="G23" i="5" s="1"/>
  <c r="G17" i="5" s="1"/>
  <c r="H20" i="3"/>
  <c r="G13" i="6" s="1"/>
  <c r="K20" i="3"/>
  <c r="J13" i="6" s="1"/>
  <c r="J20" i="3"/>
  <c r="I13" i="6" s="1"/>
  <c r="D44" i="16"/>
  <c r="I20" i="3"/>
  <c r="H13" i="6" s="1"/>
  <c r="B13" i="6"/>
  <c r="B26" i="3"/>
  <c r="L20" i="3"/>
  <c r="K13" i="6" s="1"/>
  <c r="E20" i="3"/>
  <c r="D13" i="6" s="1"/>
  <c r="D20" i="3"/>
  <c r="C13" i="6" s="1"/>
  <c r="M20" i="3"/>
  <c r="J8" i="7" s="1"/>
  <c r="J12" i="7" s="1"/>
  <c r="G20" i="3"/>
  <c r="F13" i="6" s="1"/>
  <c r="L25" i="5"/>
  <c r="L19" i="5" s="1"/>
  <c r="L255" i="16"/>
  <c r="C24" i="9"/>
  <c r="C26" i="9" s="1"/>
  <c r="C29" i="9" s="1"/>
  <c r="V255" i="16"/>
  <c r="L250" i="16"/>
  <c r="R255" i="16"/>
  <c r="N255" i="16"/>
  <c r="V250" i="16"/>
  <c r="F255" i="16"/>
  <c r="P250" i="16"/>
  <c r="X255" i="16"/>
  <c r="D20" i="9"/>
  <c r="E20" i="9" s="1"/>
  <c r="H250" i="16"/>
  <c r="D18" i="9"/>
  <c r="E18" i="9" s="1"/>
  <c r="E16" i="9"/>
  <c r="N250" i="16"/>
  <c r="D23" i="9"/>
  <c r="E23" i="9" s="1"/>
  <c r="K6" i="18"/>
  <c r="K7" i="18" s="1"/>
  <c r="K9" i="18" s="1"/>
  <c r="E32" i="3"/>
  <c r="K23" i="5"/>
  <c r="K17" i="5" s="1"/>
  <c r="D22" i="9"/>
  <c r="E22" i="9" s="1"/>
  <c r="D19" i="9"/>
  <c r="E19" i="9" s="1"/>
  <c r="E25" i="5"/>
  <c r="E23" i="5" s="1"/>
  <c r="E17" i="5" s="1"/>
  <c r="F25" i="5"/>
  <c r="F23" i="5" s="1"/>
  <c r="F17" i="5" s="1"/>
  <c r="C44" i="11"/>
  <c r="E28" i="10"/>
  <c r="B28" i="10" s="1"/>
  <c r="K32" i="3"/>
  <c r="J7" i="7"/>
  <c r="L32" i="3"/>
  <c r="G15" i="3"/>
  <c r="I32" i="3"/>
  <c r="F32" i="3"/>
  <c r="F26" i="3"/>
  <c r="J23" i="5"/>
  <c r="J17" i="5" s="1"/>
  <c r="J15" i="3"/>
  <c r="J27" i="3" s="1"/>
  <c r="D16" i="7"/>
  <c r="J32" i="7"/>
  <c r="J34" i="7" s="1"/>
  <c r="J36" i="7" s="1"/>
  <c r="M32" i="3"/>
  <c r="C42" i="11" s="1"/>
  <c r="F32" i="7"/>
  <c r="C14" i="7"/>
  <c r="I23" i="5"/>
  <c r="I17" i="5" s="1"/>
  <c r="H15" i="7"/>
  <c r="D32" i="3"/>
  <c r="D15" i="3"/>
  <c r="M25" i="5"/>
  <c r="M19" i="5" s="1"/>
  <c r="F7" i="7"/>
  <c r="E16" i="7"/>
  <c r="F34" i="7"/>
  <c r="C36" i="7"/>
  <c r="D23" i="5"/>
  <c r="D17" i="5" s="1"/>
  <c r="D19" i="5"/>
  <c r="E14" i="7"/>
  <c r="M24" i="3"/>
  <c r="H8" i="7"/>
  <c r="H12" i="7" s="1"/>
  <c r="H17" i="7" s="1"/>
  <c r="E17" i="7"/>
  <c r="L27" i="3"/>
  <c r="B25" i="10"/>
  <c r="P71" i="16"/>
  <c r="T71" i="16" l="1"/>
  <c r="K25" i="6"/>
  <c r="K26" i="6"/>
  <c r="G6" i="18"/>
  <c r="G18" i="18" s="1"/>
  <c r="V71" i="16"/>
  <c r="R71" i="16"/>
  <c r="I32" i="7"/>
  <c r="I34" i="7" s="1"/>
  <c r="E30" i="15" s="1"/>
  <c r="E31" i="15" s="1"/>
  <c r="E33" i="15" s="1"/>
  <c r="E34" i="15" s="1"/>
  <c r="E35" i="15" s="1"/>
  <c r="E37" i="15" s="1"/>
  <c r="E39" i="15" s="1"/>
  <c r="I9" i="7" s="1"/>
  <c r="I12" i="7" s="1"/>
  <c r="I17" i="7" s="1"/>
  <c r="I7" i="7"/>
  <c r="K7" i="7" s="1"/>
  <c r="D25" i="10"/>
  <c r="C36" i="10" s="1"/>
  <c r="D36" i="10" s="1"/>
  <c r="C41" i="11"/>
  <c r="D25" i="6"/>
  <c r="D26" i="6"/>
  <c r="H23" i="5"/>
  <c r="H17" i="5" s="1"/>
  <c r="L18" i="18"/>
  <c r="I10" i="6"/>
  <c r="I24" i="6" s="1"/>
  <c r="L8" i="6"/>
  <c r="H12" i="17" s="1"/>
  <c r="J6" i="18"/>
  <c r="J21" i="18" s="1"/>
  <c r="J26" i="6"/>
  <c r="J25" i="6"/>
  <c r="G10" i="6"/>
  <c r="G24" i="6" s="1"/>
  <c r="L20" i="18"/>
  <c r="L22" i="18"/>
  <c r="L14" i="18"/>
  <c r="D6" i="18"/>
  <c r="D18" i="18" s="1"/>
  <c r="G25" i="6"/>
  <c r="H71" i="16"/>
  <c r="C26" i="6"/>
  <c r="C25" i="6"/>
  <c r="H19" i="18"/>
  <c r="C6" i="18"/>
  <c r="C21" i="18" s="1"/>
  <c r="H21" i="18"/>
  <c r="I26" i="6"/>
  <c r="H22" i="18"/>
  <c r="H18" i="18"/>
  <c r="H14" i="18"/>
  <c r="J71" i="16"/>
  <c r="H7" i="18"/>
  <c r="H9" i="18" s="1"/>
  <c r="H8" i="6"/>
  <c r="H10" i="6" s="1"/>
  <c r="H23" i="6" s="1"/>
  <c r="L21" i="18"/>
  <c r="F25" i="6"/>
  <c r="H20" i="18"/>
  <c r="E22" i="16"/>
  <c r="D22" i="16" s="1"/>
  <c r="L17" i="18"/>
  <c r="L7" i="18"/>
  <c r="L9" i="18" s="1"/>
  <c r="E26" i="6"/>
  <c r="E10" i="6"/>
  <c r="E24" i="6" s="1"/>
  <c r="I6" i="18"/>
  <c r="I18" i="18" s="1"/>
  <c r="F6" i="18"/>
  <c r="F19" i="18" s="1"/>
  <c r="F10" i="6"/>
  <c r="F23" i="6" s="1"/>
  <c r="E6" i="18"/>
  <c r="E19" i="18" s="1"/>
  <c r="J26" i="3"/>
  <c r="J25" i="3" s="1"/>
  <c r="J23" i="3" s="1"/>
  <c r="J17" i="3" s="1"/>
  <c r="E26" i="3"/>
  <c r="E25" i="3" s="1"/>
  <c r="E23" i="3" s="1"/>
  <c r="E17" i="3" s="1"/>
  <c r="G19" i="5"/>
  <c r="I26" i="3"/>
  <c r="I25" i="3" s="1"/>
  <c r="I23" i="3" s="1"/>
  <c r="I17" i="3" s="1"/>
  <c r="L26" i="3"/>
  <c r="L25" i="3" s="1"/>
  <c r="L23" i="3" s="1"/>
  <c r="L17" i="3" s="1"/>
  <c r="H26" i="3"/>
  <c r="H25" i="3" s="1"/>
  <c r="H23" i="3" s="1"/>
  <c r="H17" i="3" s="1"/>
  <c r="K26" i="3"/>
  <c r="K25" i="3" s="1"/>
  <c r="K19" i="3" s="1"/>
  <c r="E19" i="5"/>
  <c r="G26" i="3"/>
  <c r="D26" i="3"/>
  <c r="L13" i="6"/>
  <c r="M26" i="3"/>
  <c r="M25" i="3" s="1"/>
  <c r="M19" i="3" s="1"/>
  <c r="J14" i="7"/>
  <c r="L23" i="5"/>
  <c r="L17" i="5" s="1"/>
  <c r="G22" i="18"/>
  <c r="E24" i="9"/>
  <c r="E26" i="9" s="1"/>
  <c r="F19" i="5"/>
  <c r="E26" i="10"/>
  <c r="B26" i="10" s="1"/>
  <c r="D24" i="9"/>
  <c r="D26" i="9" s="1"/>
  <c r="G20" i="18"/>
  <c r="K22" i="18"/>
  <c r="K19" i="18"/>
  <c r="K14" i="18"/>
  <c r="K17" i="18"/>
  <c r="K20" i="18"/>
  <c r="K21" i="18"/>
  <c r="K18" i="18"/>
  <c r="D28" i="10"/>
  <c r="C28" i="10"/>
  <c r="H26" i="6"/>
  <c r="J16" i="7"/>
  <c r="G27" i="3"/>
  <c r="J17" i="7"/>
  <c r="F25" i="3"/>
  <c r="F23" i="3" s="1"/>
  <c r="F17" i="3" s="1"/>
  <c r="J15" i="7"/>
  <c r="F16" i="7"/>
  <c r="F10" i="7" s="1"/>
  <c r="F14" i="7"/>
  <c r="F18" i="7" s="1"/>
  <c r="M23" i="5"/>
  <c r="M17" i="5" s="1"/>
  <c r="D27" i="3"/>
  <c r="H14" i="7"/>
  <c r="J24" i="6"/>
  <c r="J23" i="6"/>
  <c r="K24" i="6"/>
  <c r="K23" i="6"/>
  <c r="C24" i="6"/>
  <c r="C23" i="6"/>
  <c r="D24" i="6"/>
  <c r="D23" i="6"/>
  <c r="I35" i="7" l="1"/>
  <c r="G17" i="18"/>
  <c r="G7" i="18"/>
  <c r="G9" i="18" s="1"/>
  <c r="G21" i="18"/>
  <c r="G19" i="18"/>
  <c r="G14" i="18"/>
  <c r="L25" i="6"/>
  <c r="I23" i="6"/>
  <c r="L10" i="6"/>
  <c r="L23" i="6" s="1"/>
  <c r="I14" i="7"/>
  <c r="D14" i="18"/>
  <c r="D22" i="18"/>
  <c r="I16" i="7"/>
  <c r="D21" i="18"/>
  <c r="K34" i="7"/>
  <c r="F14" i="18"/>
  <c r="K32" i="7"/>
  <c r="J20" i="18"/>
  <c r="J19" i="18"/>
  <c r="C19" i="18"/>
  <c r="F36" i="10"/>
  <c r="D17" i="18"/>
  <c r="C14" i="18"/>
  <c r="C18" i="18"/>
  <c r="D7" i="18"/>
  <c r="D9" i="18" s="1"/>
  <c r="L24" i="18"/>
  <c r="L26" i="18" s="1"/>
  <c r="L28" i="18" s="1"/>
  <c r="D19" i="18"/>
  <c r="D20" i="18"/>
  <c r="L26" i="6"/>
  <c r="E21" i="18"/>
  <c r="G23" i="6"/>
  <c r="E23" i="6"/>
  <c r="I21" i="18"/>
  <c r="J7" i="18"/>
  <c r="J9" i="18" s="1"/>
  <c r="J17" i="18"/>
  <c r="J14" i="18"/>
  <c r="J18" i="18"/>
  <c r="J22" i="18"/>
  <c r="I14" i="18"/>
  <c r="C22" i="16"/>
  <c r="H24" i="18"/>
  <c r="H26" i="18" s="1"/>
  <c r="H28" i="18" s="1"/>
  <c r="E17" i="18"/>
  <c r="C17" i="18"/>
  <c r="F7" i="18"/>
  <c r="F9" i="18" s="1"/>
  <c r="H24" i="6"/>
  <c r="H25" i="6"/>
  <c r="C7" i="18"/>
  <c r="C9" i="18" s="1"/>
  <c r="C22" i="18"/>
  <c r="B22" i="16"/>
  <c r="E20" i="18"/>
  <c r="C20" i="18"/>
  <c r="F24" i="6"/>
  <c r="F21" i="18"/>
  <c r="F18" i="18"/>
  <c r="F22" i="18"/>
  <c r="F17" i="18"/>
  <c r="F20" i="18"/>
  <c r="E22" i="18"/>
  <c r="I17" i="18"/>
  <c r="I20" i="18"/>
  <c r="I7" i="18"/>
  <c r="I9" i="18" s="1"/>
  <c r="E14" i="18"/>
  <c r="I22" i="18"/>
  <c r="E18" i="18"/>
  <c r="E7" i="18"/>
  <c r="E9" i="18" s="1"/>
  <c r="I19" i="18"/>
  <c r="H19" i="3"/>
  <c r="D26" i="10"/>
  <c r="C26" i="10"/>
  <c r="G25" i="3"/>
  <c r="G23" i="3" s="1"/>
  <c r="G17" i="3" s="1"/>
  <c r="D25" i="3"/>
  <c r="D23" i="3" s="1"/>
  <c r="D17" i="3" s="1"/>
  <c r="M23" i="3"/>
  <c r="M17" i="3" s="1"/>
  <c r="E19" i="3"/>
  <c r="I15" i="7"/>
  <c r="K15" i="7" s="1"/>
  <c r="K9" i="7" s="1"/>
  <c r="G24" i="18"/>
  <c r="G30" i="18" s="1"/>
  <c r="K17" i="7"/>
  <c r="K12" i="7" s="1"/>
  <c r="K24" i="18"/>
  <c r="K26" i="18" s="1"/>
  <c r="K28" i="18" s="1"/>
  <c r="B42" i="10"/>
  <c r="C42" i="10"/>
  <c r="K16" i="7"/>
  <c r="K10" i="7" s="1"/>
  <c r="K14" i="7"/>
  <c r="K18" i="7" s="1"/>
  <c r="K23" i="3"/>
  <c r="K17" i="3" s="1"/>
  <c r="L19" i="3"/>
  <c r="F19" i="3"/>
  <c r="J19" i="3"/>
  <c r="I19" i="3"/>
  <c r="E36" i="10"/>
  <c r="H36" i="10"/>
  <c r="D24" i="18" l="1"/>
  <c r="D26" i="18" s="1"/>
  <c r="J24" i="18"/>
  <c r="J26" i="18" s="1"/>
  <c r="J28" i="18" s="1"/>
  <c r="L24" i="6"/>
  <c r="F24" i="18"/>
  <c r="F26" i="18" s="1"/>
  <c r="F28" i="18" s="1"/>
  <c r="I24" i="18"/>
  <c r="I26" i="18" s="1"/>
  <c r="I28" i="18" s="1"/>
  <c r="C24" i="18"/>
  <c r="C26" i="18" s="1"/>
  <c r="C28" i="18" s="1"/>
  <c r="L30" i="18"/>
  <c r="L8" i="38" s="1"/>
  <c r="G19" i="3"/>
  <c r="E24" i="18"/>
  <c r="E26" i="18" s="1"/>
  <c r="E28" i="18" s="1"/>
  <c r="C40" i="10"/>
  <c r="B40" i="10"/>
  <c r="D19" i="3"/>
  <c r="G26" i="18"/>
  <c r="G28" i="18" s="1"/>
  <c r="D28" i="18"/>
  <c r="D42" i="10"/>
  <c r="F42" i="10" s="1"/>
  <c r="H42" i="10" s="1"/>
  <c r="J42" i="10" s="1"/>
  <c r="J36" i="10"/>
  <c r="D33" i="15"/>
  <c r="D34" i="15" s="1"/>
  <c r="C33" i="3"/>
  <c r="L8" i="17" l="1"/>
  <c r="K26" i="7"/>
  <c r="D40" i="10"/>
  <c r="F40" i="10" s="1"/>
  <c r="H40" i="10" s="1"/>
  <c r="J40" i="10" s="1"/>
  <c r="D35" i="7"/>
  <c r="D36" i="7" s="1"/>
  <c r="D35" i="15"/>
  <c r="D37" i="15" s="1"/>
  <c r="D39" i="15" s="1"/>
  <c r="D9" i="7" s="1"/>
  <c r="D15" i="7" s="1"/>
  <c r="F15" i="7" s="1"/>
  <c r="F9" i="7" s="1"/>
  <c r="E33" i="3"/>
  <c r="E36" i="3" s="1"/>
  <c r="L33" i="3"/>
  <c r="L36" i="3" s="1"/>
  <c r="J33" i="3"/>
  <c r="J36" i="3" s="1"/>
  <c r="D33" i="3"/>
  <c r="D36" i="3" s="1"/>
  <c r="G33" i="3"/>
  <c r="G36" i="3" s="1"/>
  <c r="F33" i="3"/>
  <c r="F36" i="3" s="1"/>
  <c r="K33" i="3"/>
  <c r="K36" i="3" s="1"/>
  <c r="I33" i="3"/>
  <c r="I36" i="3" s="1"/>
  <c r="H33" i="3"/>
  <c r="H36" i="3" s="1"/>
  <c r="B33" i="3"/>
  <c r="B36" i="3" s="1"/>
  <c r="M33" i="3"/>
  <c r="F36" i="7" l="1"/>
  <c r="I36" i="7"/>
  <c r="D12" i="7"/>
  <c r="D17" i="7" s="1"/>
  <c r="F17" i="7" s="1"/>
  <c r="F12" i="7" s="1"/>
  <c r="S28" i="16"/>
  <c r="S32" i="16"/>
  <c r="R197" i="16" s="1"/>
  <c r="R198" i="16" s="1"/>
  <c r="R199" i="16" s="1"/>
  <c r="S33" i="16"/>
  <c r="R202" i="16" s="1"/>
  <c r="R203" i="16" s="1"/>
  <c r="R204" i="16" s="1"/>
  <c r="S37" i="16"/>
  <c r="R222" i="16" s="1"/>
  <c r="R223" i="16" s="1"/>
  <c r="R224" i="16" s="1"/>
  <c r="S41" i="16"/>
  <c r="R242" i="16" s="1"/>
  <c r="R243" i="16" s="1"/>
  <c r="R244" i="16" s="1"/>
  <c r="S40" i="16"/>
  <c r="R237" i="16" s="1"/>
  <c r="R238" i="16" s="1"/>
  <c r="R239" i="16" s="1"/>
  <c r="S39" i="16"/>
  <c r="R232" i="16" s="1"/>
  <c r="R233" i="16" s="1"/>
  <c r="R234" i="16" s="1"/>
  <c r="S31" i="16"/>
  <c r="R192" i="16" s="1"/>
  <c r="R193" i="16" s="1"/>
  <c r="R194" i="16" s="1"/>
  <c r="S38" i="16"/>
  <c r="R227" i="16" s="1"/>
  <c r="R228" i="16" s="1"/>
  <c r="R229" i="16" s="1"/>
  <c r="S35" i="16"/>
  <c r="R212" i="16" s="1"/>
  <c r="R213" i="16" s="1"/>
  <c r="R214" i="16" s="1"/>
  <c r="S29" i="16"/>
  <c r="R182" i="16" s="1"/>
  <c r="R183" i="16" s="1"/>
  <c r="S30" i="16"/>
  <c r="R187" i="16" s="1"/>
  <c r="R188" i="16" s="1"/>
  <c r="R189" i="16" s="1"/>
  <c r="S34" i="16"/>
  <c r="R207" i="16" s="1"/>
  <c r="R208" i="16" s="1"/>
  <c r="R209" i="16" s="1"/>
  <c r="S36" i="16"/>
  <c r="R217" i="16" s="1"/>
  <c r="R218" i="16" s="1"/>
  <c r="R219" i="16" s="1"/>
  <c r="W38" i="16"/>
  <c r="V227" i="16" s="1"/>
  <c r="V228" i="16" s="1"/>
  <c r="V229" i="16" s="1"/>
  <c r="W28" i="16"/>
  <c r="W39" i="16"/>
  <c r="V232" i="16" s="1"/>
  <c r="V233" i="16" s="1"/>
  <c r="V234" i="16" s="1"/>
  <c r="W40" i="16"/>
  <c r="V237" i="16" s="1"/>
  <c r="V238" i="16" s="1"/>
  <c r="V239" i="16" s="1"/>
  <c r="W41" i="16"/>
  <c r="V242" i="16" s="1"/>
  <c r="V243" i="16" s="1"/>
  <c r="V244" i="16" s="1"/>
  <c r="W29" i="16"/>
  <c r="V182" i="16" s="1"/>
  <c r="V183" i="16" s="1"/>
  <c r="W32" i="16"/>
  <c r="V197" i="16" s="1"/>
  <c r="V198" i="16" s="1"/>
  <c r="V199" i="16" s="1"/>
  <c r="W37" i="16"/>
  <c r="V222" i="16" s="1"/>
  <c r="V223" i="16" s="1"/>
  <c r="V224" i="16" s="1"/>
  <c r="W33" i="16"/>
  <c r="V202" i="16" s="1"/>
  <c r="V203" i="16" s="1"/>
  <c r="V204" i="16" s="1"/>
  <c r="W30" i="16"/>
  <c r="V187" i="16" s="1"/>
  <c r="V188" i="16" s="1"/>
  <c r="V189" i="16" s="1"/>
  <c r="W31" i="16"/>
  <c r="V192" i="16" s="1"/>
  <c r="V193" i="16" s="1"/>
  <c r="V194" i="16" s="1"/>
  <c r="W34" i="16"/>
  <c r="V207" i="16" s="1"/>
  <c r="V208" i="16" s="1"/>
  <c r="V209" i="16" s="1"/>
  <c r="W36" i="16"/>
  <c r="V217" i="16" s="1"/>
  <c r="V218" i="16" s="1"/>
  <c r="V219" i="16" s="1"/>
  <c r="W35" i="16"/>
  <c r="V212" i="16" s="1"/>
  <c r="V213" i="16" s="1"/>
  <c r="V214" i="16" s="1"/>
  <c r="O32" i="16"/>
  <c r="N197" i="16" s="1"/>
  <c r="N198" i="16" s="1"/>
  <c r="N199" i="16" s="1"/>
  <c r="O28" i="16"/>
  <c r="O39" i="16"/>
  <c r="N232" i="16" s="1"/>
  <c r="N233" i="16" s="1"/>
  <c r="N234" i="16" s="1"/>
  <c r="O34" i="16"/>
  <c r="N207" i="16" s="1"/>
  <c r="N208" i="16" s="1"/>
  <c r="N209" i="16" s="1"/>
  <c r="O37" i="16"/>
  <c r="N222" i="16" s="1"/>
  <c r="N223" i="16" s="1"/>
  <c r="N224" i="16" s="1"/>
  <c r="O40" i="16"/>
  <c r="N237" i="16" s="1"/>
  <c r="N238" i="16" s="1"/>
  <c r="N239" i="16" s="1"/>
  <c r="O36" i="16"/>
  <c r="N217" i="16" s="1"/>
  <c r="N218" i="16" s="1"/>
  <c r="N219" i="16" s="1"/>
  <c r="O30" i="16"/>
  <c r="N187" i="16" s="1"/>
  <c r="N188" i="16" s="1"/>
  <c r="N189" i="16" s="1"/>
  <c r="O35" i="16"/>
  <c r="N212" i="16" s="1"/>
  <c r="N213" i="16" s="1"/>
  <c r="N214" i="16" s="1"/>
  <c r="O29" i="16"/>
  <c r="N182" i="16" s="1"/>
  <c r="N183" i="16" s="1"/>
  <c r="O33" i="16"/>
  <c r="N202" i="16" s="1"/>
  <c r="N203" i="16" s="1"/>
  <c r="N204" i="16" s="1"/>
  <c r="O38" i="16"/>
  <c r="N227" i="16" s="1"/>
  <c r="N228" i="16" s="1"/>
  <c r="N229" i="16" s="1"/>
  <c r="O31" i="16"/>
  <c r="N192" i="16" s="1"/>
  <c r="N193" i="16" s="1"/>
  <c r="N194" i="16" s="1"/>
  <c r="O41" i="16"/>
  <c r="N242" i="16" s="1"/>
  <c r="N243" i="16" s="1"/>
  <c r="N244" i="16" s="1"/>
  <c r="I36" i="16"/>
  <c r="H217" i="16" s="1"/>
  <c r="H218" i="16" s="1"/>
  <c r="H219" i="16" s="1"/>
  <c r="I33" i="16"/>
  <c r="H202" i="16" s="1"/>
  <c r="H203" i="16" s="1"/>
  <c r="H204" i="16" s="1"/>
  <c r="I29" i="16"/>
  <c r="H182" i="16" s="1"/>
  <c r="H183" i="16" s="1"/>
  <c r="H184" i="16" s="1"/>
  <c r="I32" i="16"/>
  <c r="H197" i="16" s="1"/>
  <c r="H198" i="16" s="1"/>
  <c r="H199" i="16" s="1"/>
  <c r="I35" i="16"/>
  <c r="H212" i="16" s="1"/>
  <c r="H213" i="16" s="1"/>
  <c r="H214" i="16" s="1"/>
  <c r="I34" i="16"/>
  <c r="H207" i="16" s="1"/>
  <c r="H208" i="16" s="1"/>
  <c r="H209" i="16" s="1"/>
  <c r="I37" i="16"/>
  <c r="H222" i="16" s="1"/>
  <c r="H223" i="16" s="1"/>
  <c r="H224" i="16" s="1"/>
  <c r="I38" i="16"/>
  <c r="H227" i="16" s="1"/>
  <c r="H228" i="16" s="1"/>
  <c r="H229" i="16" s="1"/>
  <c r="I31" i="16"/>
  <c r="H192" i="16" s="1"/>
  <c r="H193" i="16" s="1"/>
  <c r="H194" i="16" s="1"/>
  <c r="I40" i="16"/>
  <c r="H237" i="16" s="1"/>
  <c r="H238" i="16" s="1"/>
  <c r="H239" i="16" s="1"/>
  <c r="I41" i="16"/>
  <c r="H242" i="16" s="1"/>
  <c r="H243" i="16" s="1"/>
  <c r="H244" i="16" s="1"/>
  <c r="I28" i="16"/>
  <c r="I39" i="16"/>
  <c r="H232" i="16" s="1"/>
  <c r="H233" i="16" s="1"/>
  <c r="H234" i="16" s="1"/>
  <c r="I30" i="16"/>
  <c r="H187" i="16" s="1"/>
  <c r="H188" i="16" s="1"/>
  <c r="H189" i="16" s="1"/>
  <c r="Q34" i="16"/>
  <c r="P207" i="16" s="1"/>
  <c r="P208" i="16" s="1"/>
  <c r="P209" i="16" s="1"/>
  <c r="Q28" i="16"/>
  <c r="Q37" i="16"/>
  <c r="P222" i="16" s="1"/>
  <c r="P223" i="16" s="1"/>
  <c r="P224" i="16" s="1"/>
  <c r="Q39" i="16"/>
  <c r="P232" i="16" s="1"/>
  <c r="P233" i="16" s="1"/>
  <c r="P234" i="16" s="1"/>
  <c r="Q38" i="16"/>
  <c r="P227" i="16" s="1"/>
  <c r="P228" i="16" s="1"/>
  <c r="P229" i="16" s="1"/>
  <c r="Q36" i="16"/>
  <c r="P217" i="16" s="1"/>
  <c r="P218" i="16" s="1"/>
  <c r="P219" i="16" s="1"/>
  <c r="Q40" i="16"/>
  <c r="P237" i="16" s="1"/>
  <c r="P238" i="16" s="1"/>
  <c r="P239" i="16" s="1"/>
  <c r="Q30" i="16"/>
  <c r="P187" i="16" s="1"/>
  <c r="P188" i="16" s="1"/>
  <c r="P189" i="16" s="1"/>
  <c r="Q32" i="16"/>
  <c r="P197" i="16" s="1"/>
  <c r="P198" i="16" s="1"/>
  <c r="P199" i="16" s="1"/>
  <c r="Q35" i="16"/>
  <c r="P212" i="16" s="1"/>
  <c r="P213" i="16" s="1"/>
  <c r="P214" i="16" s="1"/>
  <c r="Q41" i="16"/>
  <c r="P242" i="16" s="1"/>
  <c r="P243" i="16" s="1"/>
  <c r="P244" i="16" s="1"/>
  <c r="Q29" i="16"/>
  <c r="P182" i="16" s="1"/>
  <c r="P183" i="16" s="1"/>
  <c r="Q31" i="16"/>
  <c r="P192" i="16" s="1"/>
  <c r="P193" i="16" s="1"/>
  <c r="P194" i="16" s="1"/>
  <c r="Q33" i="16"/>
  <c r="P202" i="16" s="1"/>
  <c r="P203" i="16" s="1"/>
  <c r="P204" i="16" s="1"/>
  <c r="U30" i="16"/>
  <c r="T187" i="16" s="1"/>
  <c r="T188" i="16" s="1"/>
  <c r="T189" i="16" s="1"/>
  <c r="U41" i="16"/>
  <c r="T242" i="16" s="1"/>
  <c r="T243" i="16" s="1"/>
  <c r="T244" i="16" s="1"/>
  <c r="U40" i="16"/>
  <c r="T237" i="16" s="1"/>
  <c r="T238" i="16" s="1"/>
  <c r="T239" i="16" s="1"/>
  <c r="U38" i="16"/>
  <c r="T227" i="16" s="1"/>
  <c r="T228" i="16" s="1"/>
  <c r="T229" i="16" s="1"/>
  <c r="U35" i="16"/>
  <c r="T212" i="16" s="1"/>
  <c r="T213" i="16" s="1"/>
  <c r="T214" i="16" s="1"/>
  <c r="U36" i="16"/>
  <c r="T217" i="16" s="1"/>
  <c r="T218" i="16" s="1"/>
  <c r="T219" i="16" s="1"/>
  <c r="U37" i="16"/>
  <c r="T222" i="16" s="1"/>
  <c r="T223" i="16" s="1"/>
  <c r="T224" i="16" s="1"/>
  <c r="U32" i="16"/>
  <c r="T197" i="16" s="1"/>
  <c r="T198" i="16" s="1"/>
  <c r="T199" i="16" s="1"/>
  <c r="U34" i="16"/>
  <c r="T207" i="16" s="1"/>
  <c r="T208" i="16" s="1"/>
  <c r="T209" i="16" s="1"/>
  <c r="U29" i="16"/>
  <c r="T182" i="16" s="1"/>
  <c r="T183" i="16" s="1"/>
  <c r="U33" i="16"/>
  <c r="T202" i="16" s="1"/>
  <c r="T203" i="16" s="1"/>
  <c r="T204" i="16" s="1"/>
  <c r="U31" i="16"/>
  <c r="T192" i="16" s="1"/>
  <c r="T193" i="16" s="1"/>
  <c r="T194" i="16" s="1"/>
  <c r="U28" i="16"/>
  <c r="U39" i="16"/>
  <c r="T232" i="16" s="1"/>
  <c r="T233" i="16" s="1"/>
  <c r="T234" i="16" s="1"/>
  <c r="K36" i="16"/>
  <c r="J217" i="16" s="1"/>
  <c r="J218" i="16" s="1"/>
  <c r="J219" i="16" s="1"/>
  <c r="K37" i="16"/>
  <c r="J222" i="16" s="1"/>
  <c r="J223" i="16" s="1"/>
  <c r="J224" i="16" s="1"/>
  <c r="K40" i="16"/>
  <c r="J237" i="16" s="1"/>
  <c r="J238" i="16" s="1"/>
  <c r="J239" i="16" s="1"/>
  <c r="K41" i="16"/>
  <c r="J242" i="16" s="1"/>
  <c r="J243" i="16" s="1"/>
  <c r="J244" i="16" s="1"/>
  <c r="K39" i="16"/>
  <c r="J232" i="16" s="1"/>
  <c r="J233" i="16" s="1"/>
  <c r="J234" i="16" s="1"/>
  <c r="K33" i="16"/>
  <c r="J202" i="16" s="1"/>
  <c r="J203" i="16" s="1"/>
  <c r="J204" i="16" s="1"/>
  <c r="K30" i="16"/>
  <c r="J187" i="16" s="1"/>
  <c r="J188" i="16" s="1"/>
  <c r="J189" i="16" s="1"/>
  <c r="K34" i="16"/>
  <c r="J207" i="16" s="1"/>
  <c r="J208" i="16" s="1"/>
  <c r="J209" i="16" s="1"/>
  <c r="K35" i="16"/>
  <c r="J212" i="16" s="1"/>
  <c r="J213" i="16" s="1"/>
  <c r="J214" i="16" s="1"/>
  <c r="K31" i="16"/>
  <c r="J192" i="16" s="1"/>
  <c r="J193" i="16" s="1"/>
  <c r="J194" i="16" s="1"/>
  <c r="K28" i="16"/>
  <c r="K32" i="16"/>
  <c r="J197" i="16" s="1"/>
  <c r="J198" i="16" s="1"/>
  <c r="J199" i="16" s="1"/>
  <c r="K38" i="16"/>
  <c r="J227" i="16" s="1"/>
  <c r="J228" i="16" s="1"/>
  <c r="J229" i="16" s="1"/>
  <c r="K29" i="16"/>
  <c r="J182" i="16" s="1"/>
  <c r="J183" i="16" s="1"/>
  <c r="M41" i="16"/>
  <c r="L242" i="16" s="1"/>
  <c r="L243" i="16" s="1"/>
  <c r="L244" i="16" s="1"/>
  <c r="M36" i="16"/>
  <c r="L217" i="16" s="1"/>
  <c r="L218" i="16" s="1"/>
  <c r="L219" i="16" s="1"/>
  <c r="M35" i="16"/>
  <c r="L212" i="16" s="1"/>
  <c r="L213" i="16" s="1"/>
  <c r="L214" i="16" s="1"/>
  <c r="M31" i="16"/>
  <c r="L192" i="16" s="1"/>
  <c r="L193" i="16" s="1"/>
  <c r="L194" i="16" s="1"/>
  <c r="M30" i="16"/>
  <c r="L187" i="16" s="1"/>
  <c r="L188" i="16" s="1"/>
  <c r="L189" i="16" s="1"/>
  <c r="M39" i="16"/>
  <c r="L232" i="16" s="1"/>
  <c r="L233" i="16" s="1"/>
  <c r="L234" i="16" s="1"/>
  <c r="M34" i="16"/>
  <c r="L207" i="16" s="1"/>
  <c r="L208" i="16" s="1"/>
  <c r="L209" i="16" s="1"/>
  <c r="M40" i="16"/>
  <c r="L237" i="16" s="1"/>
  <c r="L238" i="16" s="1"/>
  <c r="L239" i="16" s="1"/>
  <c r="M38" i="16"/>
  <c r="L227" i="16" s="1"/>
  <c r="L228" i="16" s="1"/>
  <c r="L229" i="16" s="1"/>
  <c r="M33" i="16"/>
  <c r="L202" i="16" s="1"/>
  <c r="L203" i="16" s="1"/>
  <c r="L204" i="16" s="1"/>
  <c r="M32" i="16"/>
  <c r="L197" i="16" s="1"/>
  <c r="L198" i="16" s="1"/>
  <c r="L199" i="16" s="1"/>
  <c r="M29" i="16"/>
  <c r="L182" i="16" s="1"/>
  <c r="L183" i="16" s="1"/>
  <c r="M37" i="16"/>
  <c r="L222" i="16" s="1"/>
  <c r="L223" i="16" s="1"/>
  <c r="L224" i="16" s="1"/>
  <c r="M28" i="16"/>
  <c r="C43" i="11"/>
  <c r="C46" i="11" s="1"/>
  <c r="C47" i="11" s="1"/>
  <c r="M36" i="3"/>
  <c r="E27" i="10"/>
  <c r="G34" i="16"/>
  <c r="F207" i="16" s="1"/>
  <c r="F208" i="16" s="1"/>
  <c r="F209" i="16" s="1"/>
  <c r="F210" i="16" s="1"/>
  <c r="G41" i="16"/>
  <c r="F242" i="16" s="1"/>
  <c r="F243" i="16" s="1"/>
  <c r="F244" i="16" s="1"/>
  <c r="F245" i="16" s="1"/>
  <c r="G31" i="16"/>
  <c r="F192" i="16" s="1"/>
  <c r="F193" i="16" s="1"/>
  <c r="F194" i="16" s="1"/>
  <c r="F195" i="16" s="1"/>
  <c r="G30" i="16"/>
  <c r="F187" i="16" s="1"/>
  <c r="F188" i="16" s="1"/>
  <c r="F189" i="16" s="1"/>
  <c r="F190" i="16" s="1"/>
  <c r="G37" i="16"/>
  <c r="F222" i="16" s="1"/>
  <c r="F223" i="16" s="1"/>
  <c r="F224" i="16" s="1"/>
  <c r="F225" i="16" s="1"/>
  <c r="G40" i="16"/>
  <c r="F237" i="16" s="1"/>
  <c r="F238" i="16" s="1"/>
  <c r="F239" i="16" s="1"/>
  <c r="F240" i="16" s="1"/>
  <c r="G39" i="16"/>
  <c r="F232" i="16" s="1"/>
  <c r="F233" i="16" s="1"/>
  <c r="F234" i="16" s="1"/>
  <c r="F235" i="16" s="1"/>
  <c r="G29" i="16"/>
  <c r="F182" i="16" s="1"/>
  <c r="F183" i="16" s="1"/>
  <c r="F184" i="16" s="1"/>
  <c r="F185" i="16" s="1"/>
  <c r="G28" i="16"/>
  <c r="G32" i="16"/>
  <c r="F197" i="16" s="1"/>
  <c r="F198" i="16" s="1"/>
  <c r="F199" i="16" s="1"/>
  <c r="F200" i="16" s="1"/>
  <c r="G36" i="16"/>
  <c r="F217" i="16" s="1"/>
  <c r="F218" i="16" s="1"/>
  <c r="F219" i="16" s="1"/>
  <c r="F220" i="16" s="1"/>
  <c r="G38" i="16"/>
  <c r="F227" i="16" s="1"/>
  <c r="F228" i="16" s="1"/>
  <c r="F229" i="16" s="1"/>
  <c r="F230" i="16" s="1"/>
  <c r="G33" i="16"/>
  <c r="F202" i="16" s="1"/>
  <c r="F203" i="16" s="1"/>
  <c r="F204" i="16" s="1"/>
  <c r="F205" i="16" s="1"/>
  <c r="G35" i="16"/>
  <c r="F212" i="16" s="1"/>
  <c r="F213" i="16" s="1"/>
  <c r="F214" i="16" s="1"/>
  <c r="F215" i="16" s="1"/>
  <c r="T200" i="16" l="1"/>
  <c r="T78" i="16" s="1"/>
  <c r="T225" i="16"/>
  <c r="T103" i="16" s="1"/>
  <c r="L215" i="16"/>
  <c r="L81" i="16" s="1"/>
  <c r="L195" i="16"/>
  <c r="L97" i="16" s="1"/>
  <c r="J200" i="16"/>
  <c r="J98" i="16" s="1"/>
  <c r="P205" i="16"/>
  <c r="P79" i="16" s="1"/>
  <c r="T195" i="16"/>
  <c r="T97" i="16" s="1"/>
  <c r="T230" i="16"/>
  <c r="T84" i="16" s="1"/>
  <c r="L235" i="16"/>
  <c r="L85" i="16" s="1"/>
  <c r="J215" i="16"/>
  <c r="J81" i="16" s="1"/>
  <c r="J235" i="16"/>
  <c r="J105" i="16" s="1"/>
  <c r="L205" i="16"/>
  <c r="L99" i="16" s="1"/>
  <c r="T205" i="16"/>
  <c r="T79" i="16" s="1"/>
  <c r="L190" i="16"/>
  <c r="L76" i="16" s="1"/>
  <c r="J205" i="16"/>
  <c r="J99" i="16" s="1"/>
  <c r="T240" i="16"/>
  <c r="T86" i="16" s="1"/>
  <c r="P200" i="16"/>
  <c r="P78" i="16" s="1"/>
  <c r="P190" i="16"/>
  <c r="P76" i="16" s="1"/>
  <c r="J245" i="16"/>
  <c r="J107" i="16" s="1"/>
  <c r="J240" i="16"/>
  <c r="J106" i="16" s="1"/>
  <c r="T190" i="16"/>
  <c r="T96" i="16" s="1"/>
  <c r="K36" i="7"/>
  <c r="F37" i="7"/>
  <c r="T245" i="16"/>
  <c r="T107" i="16" s="1"/>
  <c r="T210" i="16"/>
  <c r="T80" i="16" s="1"/>
  <c r="L210" i="16"/>
  <c r="L80" i="16" s="1"/>
  <c r="J230" i="16"/>
  <c r="J104" i="16" s="1"/>
  <c r="T215" i="16"/>
  <c r="T81" i="16" s="1"/>
  <c r="P245" i="16"/>
  <c r="P87" i="16" s="1"/>
  <c r="P225" i="16"/>
  <c r="P83" i="16" s="1"/>
  <c r="V220" i="16"/>
  <c r="V102" i="16" s="1"/>
  <c r="P215" i="16"/>
  <c r="P81" i="16" s="1"/>
  <c r="J195" i="16"/>
  <c r="J97" i="16" s="1"/>
  <c r="J225" i="16"/>
  <c r="J103" i="16" s="1"/>
  <c r="H190" i="16"/>
  <c r="H76" i="16" s="1"/>
  <c r="H210" i="16"/>
  <c r="H80" i="16" s="1"/>
  <c r="N230" i="16"/>
  <c r="N104" i="16" s="1"/>
  <c r="V190" i="16"/>
  <c r="V96" i="16" s="1"/>
  <c r="R195" i="16"/>
  <c r="R97" i="16" s="1"/>
  <c r="L220" i="16"/>
  <c r="L82" i="16" s="1"/>
  <c r="T235" i="16"/>
  <c r="T85" i="16" s="1"/>
  <c r="T220" i="16"/>
  <c r="T82" i="16" s="1"/>
  <c r="P235" i="16"/>
  <c r="P85" i="16" s="1"/>
  <c r="N245" i="16"/>
  <c r="N107" i="16" s="1"/>
  <c r="V210" i="16"/>
  <c r="V100" i="16" s="1"/>
  <c r="F79" i="16"/>
  <c r="F99" i="16"/>
  <c r="N210" i="16"/>
  <c r="V177" i="16"/>
  <c r="V178" i="16" s="1"/>
  <c r="V179" i="16" s="1"/>
  <c r="W44" i="16"/>
  <c r="F104" i="16"/>
  <c r="F84" i="16"/>
  <c r="F96" i="16"/>
  <c r="F76" i="16"/>
  <c r="L200" i="16"/>
  <c r="J220" i="16"/>
  <c r="P240" i="16"/>
  <c r="H235" i="16"/>
  <c r="H215" i="16"/>
  <c r="N205" i="16"/>
  <c r="N235" i="16"/>
  <c r="V205" i="16"/>
  <c r="V230" i="16"/>
  <c r="R235" i="16"/>
  <c r="F83" i="16"/>
  <c r="F103" i="16"/>
  <c r="L184" i="16"/>
  <c r="L77" i="16"/>
  <c r="T184" i="16"/>
  <c r="T77" i="16"/>
  <c r="J210" i="16"/>
  <c r="P220" i="16"/>
  <c r="H177" i="16"/>
  <c r="H178" i="16" s="1"/>
  <c r="H179" i="16" s="1"/>
  <c r="I44" i="16"/>
  <c r="H200" i="16"/>
  <c r="N184" i="16"/>
  <c r="N77" i="16"/>
  <c r="N177" i="16"/>
  <c r="N178" i="16" s="1"/>
  <c r="N179" i="16" s="1"/>
  <c r="O44" i="16"/>
  <c r="V225" i="16"/>
  <c r="R220" i="16"/>
  <c r="R240" i="16"/>
  <c r="F85" i="16"/>
  <c r="F105" i="16"/>
  <c r="F82" i="16"/>
  <c r="F102" i="16"/>
  <c r="F107" i="16"/>
  <c r="F87" i="16"/>
  <c r="B27" i="10"/>
  <c r="C27" i="10"/>
  <c r="D27" i="10"/>
  <c r="L230" i="16"/>
  <c r="L245" i="16"/>
  <c r="J190" i="16"/>
  <c r="P195" i="16"/>
  <c r="P97" i="16" s="1"/>
  <c r="P230" i="16"/>
  <c r="H245" i="16"/>
  <c r="H185" i="16"/>
  <c r="N215" i="16"/>
  <c r="N200" i="16"/>
  <c r="V200" i="16"/>
  <c r="R210" i="16"/>
  <c r="R245" i="16"/>
  <c r="F77" i="16"/>
  <c r="F97" i="16"/>
  <c r="F98" i="16"/>
  <c r="F78" i="16"/>
  <c r="G44" i="16"/>
  <c r="F177" i="16"/>
  <c r="F178" i="16" s="1"/>
  <c r="F179" i="16" s="1"/>
  <c r="F180" i="16" s="1"/>
  <c r="F100" i="16"/>
  <c r="F80" i="16"/>
  <c r="Y29" i="16"/>
  <c r="X182" i="16" s="1"/>
  <c r="X183" i="16" s="1"/>
  <c r="X184" i="16" s="1"/>
  <c r="Y36" i="16"/>
  <c r="X217" i="16" s="1"/>
  <c r="X218" i="16" s="1"/>
  <c r="X219" i="16" s="1"/>
  <c r="X220" i="16" s="1"/>
  <c r="Y32" i="16"/>
  <c r="X197" i="16" s="1"/>
  <c r="X198" i="16" s="1"/>
  <c r="X199" i="16" s="1"/>
  <c r="X200" i="16" s="1"/>
  <c r="Y39" i="16"/>
  <c r="X232" i="16" s="1"/>
  <c r="X233" i="16" s="1"/>
  <c r="X234" i="16" s="1"/>
  <c r="X235" i="16" s="1"/>
  <c r="Y33" i="16"/>
  <c r="X202" i="16" s="1"/>
  <c r="X203" i="16" s="1"/>
  <c r="X204" i="16" s="1"/>
  <c r="X205" i="16" s="1"/>
  <c r="Y41" i="16"/>
  <c r="X242" i="16" s="1"/>
  <c r="X243" i="16" s="1"/>
  <c r="X244" i="16" s="1"/>
  <c r="X245" i="16" s="1"/>
  <c r="Y31" i="16"/>
  <c r="X192" i="16" s="1"/>
  <c r="X193" i="16" s="1"/>
  <c r="X194" i="16" s="1"/>
  <c r="X195" i="16" s="1"/>
  <c r="Y34" i="16"/>
  <c r="X207" i="16" s="1"/>
  <c r="X208" i="16" s="1"/>
  <c r="X209" i="16" s="1"/>
  <c r="X210" i="16" s="1"/>
  <c r="Y37" i="16"/>
  <c r="X222" i="16" s="1"/>
  <c r="X223" i="16" s="1"/>
  <c r="X224" i="16" s="1"/>
  <c r="X225" i="16" s="1"/>
  <c r="Y40" i="16"/>
  <c r="X237" i="16" s="1"/>
  <c r="X238" i="16" s="1"/>
  <c r="X239" i="16" s="1"/>
  <c r="X240" i="16" s="1"/>
  <c r="Y30" i="16"/>
  <c r="X187" i="16" s="1"/>
  <c r="X188" i="16" s="1"/>
  <c r="X189" i="16" s="1"/>
  <c r="X190" i="16" s="1"/>
  <c r="Y35" i="16"/>
  <c r="X212" i="16" s="1"/>
  <c r="X213" i="16" s="1"/>
  <c r="X214" i="16" s="1"/>
  <c r="X215" i="16" s="1"/>
  <c r="Y28" i="16"/>
  <c r="Y38" i="16"/>
  <c r="X227" i="16" s="1"/>
  <c r="X228" i="16" s="1"/>
  <c r="X229" i="16" s="1"/>
  <c r="X230" i="16" s="1"/>
  <c r="L240" i="16"/>
  <c r="J77" i="16"/>
  <c r="J184" i="16"/>
  <c r="J185" i="16" s="1"/>
  <c r="P184" i="16"/>
  <c r="P77" i="16"/>
  <c r="H240" i="16"/>
  <c r="H205" i="16"/>
  <c r="N190" i="16"/>
  <c r="V215" i="16"/>
  <c r="V184" i="16"/>
  <c r="V77" i="16"/>
  <c r="R190" i="16"/>
  <c r="R225" i="16"/>
  <c r="T177" i="16"/>
  <c r="T178" i="16" s="1"/>
  <c r="T179" i="16" s="1"/>
  <c r="U44" i="16"/>
  <c r="H195" i="16"/>
  <c r="H220" i="16"/>
  <c r="N220" i="16"/>
  <c r="V245" i="16"/>
  <c r="R77" i="16"/>
  <c r="R184" i="16"/>
  <c r="R205" i="16"/>
  <c r="Q44" i="16"/>
  <c r="P177" i="16"/>
  <c r="P178" i="16" s="1"/>
  <c r="P179" i="16" s="1"/>
  <c r="H230" i="16"/>
  <c r="N240" i="16"/>
  <c r="V240" i="16"/>
  <c r="R215" i="16"/>
  <c r="R200" i="16"/>
  <c r="F75" i="16"/>
  <c r="F95" i="16"/>
  <c r="L177" i="16"/>
  <c r="L178" i="16" s="1"/>
  <c r="L179" i="16" s="1"/>
  <c r="M44" i="16"/>
  <c r="F101" i="16"/>
  <c r="F81" i="16"/>
  <c r="F106" i="16"/>
  <c r="F86" i="16"/>
  <c r="L225" i="16"/>
  <c r="J177" i="16"/>
  <c r="J178" i="16" s="1"/>
  <c r="J179" i="16" s="1"/>
  <c r="K44" i="16"/>
  <c r="P210" i="16"/>
  <c r="H225" i="16"/>
  <c r="N195" i="16"/>
  <c r="N97" i="16" s="1"/>
  <c r="N225" i="16"/>
  <c r="V195" i="16"/>
  <c r="V97" i="16" s="1"/>
  <c r="V235" i="16"/>
  <c r="R230" i="16"/>
  <c r="S44" i="16"/>
  <c r="R177" i="16"/>
  <c r="R178" i="16" s="1"/>
  <c r="R179" i="16" s="1"/>
  <c r="L105" i="16" l="1"/>
  <c r="J101" i="16"/>
  <c r="T102" i="16"/>
  <c r="P99" i="16"/>
  <c r="L101" i="16"/>
  <c r="T98" i="16"/>
  <c r="P96" i="16"/>
  <c r="T83" i="16"/>
  <c r="T87" i="16"/>
  <c r="P101" i="16"/>
  <c r="P98" i="16"/>
  <c r="T104" i="16"/>
  <c r="J85" i="16"/>
  <c r="J84" i="16"/>
  <c r="T99" i="16"/>
  <c r="J78" i="16"/>
  <c r="P105" i="16"/>
  <c r="V80" i="16"/>
  <c r="T76" i="16"/>
  <c r="L96" i="16"/>
  <c r="P103" i="16"/>
  <c r="P107" i="16"/>
  <c r="N87" i="16"/>
  <c r="L79" i="16"/>
  <c r="J86" i="16"/>
  <c r="J180" i="16"/>
  <c r="J94" i="16" s="1"/>
  <c r="H96" i="16"/>
  <c r="R180" i="16"/>
  <c r="R74" i="16" s="1"/>
  <c r="T106" i="16"/>
  <c r="V76" i="16"/>
  <c r="N84" i="16"/>
  <c r="J87" i="16"/>
  <c r="V82" i="16"/>
  <c r="T105" i="16"/>
  <c r="N185" i="16"/>
  <c r="N95" i="16" s="1"/>
  <c r="L100" i="16"/>
  <c r="J79" i="16"/>
  <c r="J83" i="16"/>
  <c r="P180" i="16"/>
  <c r="P74" i="16" s="1"/>
  <c r="T101" i="16"/>
  <c r="K37" i="7"/>
  <c r="L37" i="7" s="1"/>
  <c r="B38" i="10"/>
  <c r="F19" i="7"/>
  <c r="F20" i="7" s="1"/>
  <c r="F22" i="7" s="1"/>
  <c r="R185" i="16"/>
  <c r="R95" i="16" s="1"/>
  <c r="L102" i="16"/>
  <c r="T100" i="16"/>
  <c r="P185" i="16"/>
  <c r="P95" i="16" s="1"/>
  <c r="T180" i="16"/>
  <c r="T74" i="16" s="1"/>
  <c r="H180" i="16"/>
  <c r="H74" i="16" s="1"/>
  <c r="H100" i="16"/>
  <c r="V185" i="16"/>
  <c r="V95" i="16" s="1"/>
  <c r="X77" i="16"/>
  <c r="X97" i="16"/>
  <c r="B41" i="10"/>
  <c r="C41" i="10"/>
  <c r="V180" i="16"/>
  <c r="I7" i="6"/>
  <c r="S46" i="16"/>
  <c r="R257" i="16"/>
  <c r="R258" i="16" s="1"/>
  <c r="R259" i="16" s="1"/>
  <c r="R260" i="16" s="1"/>
  <c r="J257" i="16"/>
  <c r="J258" i="16" s="1"/>
  <c r="J259" i="16" s="1"/>
  <c r="J260" i="16" s="1"/>
  <c r="E7" i="6"/>
  <c r="K46" i="16"/>
  <c r="R81" i="16"/>
  <c r="R101" i="16"/>
  <c r="N96" i="16"/>
  <c r="N76" i="16"/>
  <c r="X104" i="16"/>
  <c r="X84" i="16"/>
  <c r="X107" i="16"/>
  <c r="X87" i="16"/>
  <c r="F74" i="16"/>
  <c r="F90" i="16" s="1"/>
  <c r="F94" i="16"/>
  <c r="F110" i="16" s="1"/>
  <c r="N98" i="16"/>
  <c r="N78" i="16"/>
  <c r="N180" i="16"/>
  <c r="V99" i="16"/>
  <c r="V79" i="16"/>
  <c r="N100" i="16"/>
  <c r="N80" i="16"/>
  <c r="H7" i="6"/>
  <c r="Q46" i="16"/>
  <c r="P257" i="16"/>
  <c r="P258" i="16" s="1"/>
  <c r="P259" i="16" s="1"/>
  <c r="P260" i="16" s="1"/>
  <c r="X79" i="16"/>
  <c r="X99" i="16"/>
  <c r="N85" i="16"/>
  <c r="N105" i="16"/>
  <c r="H103" i="16"/>
  <c r="H83" i="16"/>
  <c r="R78" i="16"/>
  <c r="R98" i="16"/>
  <c r="H104" i="16"/>
  <c r="H84" i="16"/>
  <c r="V107" i="16"/>
  <c r="V87" i="16"/>
  <c r="V101" i="16"/>
  <c r="V81" i="16"/>
  <c r="L106" i="16"/>
  <c r="L86" i="16"/>
  <c r="V98" i="16"/>
  <c r="V78" i="16"/>
  <c r="V104" i="16"/>
  <c r="V84" i="16"/>
  <c r="R104" i="16"/>
  <c r="R84" i="16"/>
  <c r="F7" i="6"/>
  <c r="L257" i="16"/>
  <c r="L258" i="16" s="1"/>
  <c r="L259" i="16" s="1"/>
  <c r="L260" i="16" s="1"/>
  <c r="M46" i="16"/>
  <c r="H99" i="16"/>
  <c r="H79" i="16"/>
  <c r="C7" i="6"/>
  <c r="G46" i="16"/>
  <c r="F257" i="16"/>
  <c r="F258" i="16" s="1"/>
  <c r="F259" i="16" s="1"/>
  <c r="F260" i="16" s="1"/>
  <c r="N101" i="16"/>
  <c r="N81" i="16"/>
  <c r="T185" i="16"/>
  <c r="V85" i="16"/>
  <c r="V105" i="16"/>
  <c r="L180" i="16"/>
  <c r="N102" i="16"/>
  <c r="N82" i="16"/>
  <c r="H86" i="16"/>
  <c r="H106" i="16"/>
  <c r="X81" i="16"/>
  <c r="X101" i="16"/>
  <c r="X105" i="16"/>
  <c r="X85" i="16"/>
  <c r="H95" i="16"/>
  <c r="H75" i="16"/>
  <c r="J76" i="16"/>
  <c r="J96" i="16"/>
  <c r="N79" i="16"/>
  <c r="N99" i="16"/>
  <c r="J102" i="16"/>
  <c r="J82" i="16"/>
  <c r="L103" i="16"/>
  <c r="L83" i="16"/>
  <c r="N86" i="16"/>
  <c r="N106" i="16"/>
  <c r="P100" i="16"/>
  <c r="P80" i="16"/>
  <c r="G7" i="6"/>
  <c r="O46" i="16"/>
  <c r="N257" i="16"/>
  <c r="N258" i="16" s="1"/>
  <c r="N259" i="16" s="1"/>
  <c r="N260" i="16" s="1"/>
  <c r="L98" i="16"/>
  <c r="L78" i="16"/>
  <c r="V86" i="16"/>
  <c r="V106" i="16"/>
  <c r="X177" i="16"/>
  <c r="X178" i="16" s="1"/>
  <c r="X179" i="16" s="1"/>
  <c r="X180" i="16" s="1"/>
  <c r="Y44" i="16"/>
  <c r="H102" i="16"/>
  <c r="H82" i="16"/>
  <c r="U46" i="16"/>
  <c r="J7" i="6"/>
  <c r="T257" i="16"/>
  <c r="T258" i="16" s="1"/>
  <c r="T259" i="16" s="1"/>
  <c r="T260" i="16" s="1"/>
  <c r="R83" i="16"/>
  <c r="R103" i="16"/>
  <c r="X76" i="16"/>
  <c r="X96" i="16"/>
  <c r="X98" i="16"/>
  <c r="X78" i="16"/>
  <c r="H107" i="16"/>
  <c r="H87" i="16"/>
  <c r="L87" i="16"/>
  <c r="L107" i="16"/>
  <c r="H78" i="16"/>
  <c r="H98" i="16"/>
  <c r="J80" i="16"/>
  <c r="J100" i="16"/>
  <c r="L185" i="16"/>
  <c r="H101" i="16"/>
  <c r="H81" i="16"/>
  <c r="N103" i="16"/>
  <c r="N83" i="16"/>
  <c r="R79" i="16"/>
  <c r="R99" i="16"/>
  <c r="R96" i="16"/>
  <c r="R76" i="16"/>
  <c r="X106" i="16"/>
  <c r="X86" i="16"/>
  <c r="X82" i="16"/>
  <c r="X102" i="16"/>
  <c r="P104" i="16"/>
  <c r="P84" i="16"/>
  <c r="L84" i="16"/>
  <c r="L104" i="16"/>
  <c r="R86" i="16"/>
  <c r="R106" i="16"/>
  <c r="D7" i="6"/>
  <c r="I46" i="16"/>
  <c r="H257" i="16"/>
  <c r="H258" i="16" s="1"/>
  <c r="H259" i="16" s="1"/>
  <c r="H260" i="16" s="1"/>
  <c r="H105" i="16"/>
  <c r="H85" i="16"/>
  <c r="J95" i="16"/>
  <c r="J75" i="16"/>
  <c r="X83" i="16"/>
  <c r="X103" i="16"/>
  <c r="X185" i="16"/>
  <c r="R87" i="16"/>
  <c r="R107" i="16"/>
  <c r="R102" i="16"/>
  <c r="R82" i="16"/>
  <c r="P86" i="16"/>
  <c r="P106" i="16"/>
  <c r="H97" i="16"/>
  <c r="H77" i="16"/>
  <c r="X100" i="16"/>
  <c r="X80" i="16"/>
  <c r="R80" i="16"/>
  <c r="R100" i="16"/>
  <c r="V103" i="16"/>
  <c r="V83" i="16"/>
  <c r="P82" i="16"/>
  <c r="P102" i="16"/>
  <c r="R85" i="16"/>
  <c r="R105" i="16"/>
  <c r="K7" i="6"/>
  <c r="W46" i="16"/>
  <c r="V257" i="16"/>
  <c r="V258" i="16" s="1"/>
  <c r="V259" i="16" s="1"/>
  <c r="V260" i="16" s="1"/>
  <c r="T94" i="16" l="1"/>
  <c r="R94" i="16"/>
  <c r="R110" i="16" s="1"/>
  <c r="J74" i="16"/>
  <c r="J90" i="16" s="1"/>
  <c r="N75" i="16"/>
  <c r="D41" i="10"/>
  <c r="F41" i="10" s="1"/>
  <c r="H41" i="10" s="1"/>
  <c r="J41" i="10" s="1"/>
  <c r="P75" i="16"/>
  <c r="P90" i="16" s="1"/>
  <c r="H94" i="16"/>
  <c r="H110" i="16" s="1"/>
  <c r="P94" i="16"/>
  <c r="P110" i="16" s="1"/>
  <c r="V75" i="16"/>
  <c r="R75" i="16"/>
  <c r="R90" i="16" s="1"/>
  <c r="C38" i="10"/>
  <c r="K19" i="7"/>
  <c r="K20" i="7" s="1"/>
  <c r="K21" i="7" s="1"/>
  <c r="D27" i="9" s="1"/>
  <c r="D28" i="9" s="1"/>
  <c r="E28" i="9" s="1"/>
  <c r="C48" i="11" s="1"/>
  <c r="D38" i="10"/>
  <c r="N37" i="7"/>
  <c r="N8" i="38"/>
  <c r="F23" i="7"/>
  <c r="F24" i="7"/>
  <c r="G17" i="6"/>
  <c r="G19" i="6" s="1"/>
  <c r="G28" i="6"/>
  <c r="G29" i="6" s="1"/>
  <c r="G40" i="6" s="1"/>
  <c r="F17" i="6"/>
  <c r="F19" i="6" s="1"/>
  <c r="F28" i="6"/>
  <c r="F29" i="6" s="1"/>
  <c r="F40" i="6" s="1"/>
  <c r="F112" i="16"/>
  <c r="F114" i="16"/>
  <c r="C30" i="6" s="1"/>
  <c r="D28" i="6"/>
  <c r="D29" i="6" s="1"/>
  <c r="D40" i="6" s="1"/>
  <c r="D17" i="6"/>
  <c r="D19" i="6" s="1"/>
  <c r="I28" i="6"/>
  <c r="I29" i="6" s="1"/>
  <c r="I40" i="6" s="1"/>
  <c r="I17" i="6"/>
  <c r="I19" i="6" s="1"/>
  <c r="K17" i="6"/>
  <c r="K19" i="6" s="1"/>
  <c r="K28" i="6"/>
  <c r="K29" i="6" s="1"/>
  <c r="K40" i="6" s="1"/>
  <c r="L74" i="16"/>
  <c r="L94" i="16"/>
  <c r="L75" i="16"/>
  <c r="L95" i="16"/>
  <c r="J28" i="6"/>
  <c r="J29" i="6" s="1"/>
  <c r="J40" i="6" s="1"/>
  <c r="J17" i="6"/>
  <c r="J19" i="6" s="1"/>
  <c r="J110" i="16"/>
  <c r="N94" i="16"/>
  <c r="N110" i="16" s="1"/>
  <c r="N74" i="16"/>
  <c r="V94" i="16"/>
  <c r="V110" i="16" s="1"/>
  <c r="V74" i="16"/>
  <c r="C17" i="6"/>
  <c r="C19" i="6" s="1"/>
  <c r="C28" i="6"/>
  <c r="C29" i="6" s="1"/>
  <c r="C40" i="6" s="1"/>
  <c r="H17" i="6"/>
  <c r="H19" i="6" s="1"/>
  <c r="H28" i="6"/>
  <c r="H29" i="6" s="1"/>
  <c r="H40" i="6" s="1"/>
  <c r="X74" i="16"/>
  <c r="X94" i="16"/>
  <c r="H90" i="16"/>
  <c r="X95" i="16"/>
  <c r="X75" i="16"/>
  <c r="T95" i="16"/>
  <c r="T75" i="16"/>
  <c r="T90" i="16" s="1"/>
  <c r="E17" i="6"/>
  <c r="E19" i="6" s="1"/>
  <c r="E28" i="6"/>
  <c r="E29" i="6" s="1"/>
  <c r="E40" i="6" s="1"/>
  <c r="L7" i="6"/>
  <c r="X257" i="16"/>
  <c r="X258" i="16" s="1"/>
  <c r="X259" i="16" s="1"/>
  <c r="X260" i="16" s="1"/>
  <c r="Y46" i="16"/>
  <c r="T110" i="16" l="1"/>
  <c r="T114" i="16" s="1"/>
  <c r="J30" i="6" s="1"/>
  <c r="N90" i="16"/>
  <c r="H112" i="16"/>
  <c r="H114" i="16"/>
  <c r="D30" i="6" s="1"/>
  <c r="D41" i="6" s="1"/>
  <c r="V90" i="16"/>
  <c r="X90" i="16"/>
  <c r="J112" i="16"/>
  <c r="D29" i="9"/>
  <c r="F38" i="10"/>
  <c r="H38" i="10" s="1"/>
  <c r="N8" i="17"/>
  <c r="E27" i="9"/>
  <c r="E29" i="9" s="1"/>
  <c r="E32" i="9" s="1"/>
  <c r="F8" i="17" s="1"/>
  <c r="K22" i="7"/>
  <c r="K23" i="7" s="1"/>
  <c r="L110" i="16"/>
  <c r="L114" i="16" s="1"/>
  <c r="F30" i="6" s="1"/>
  <c r="D38" i="6"/>
  <c r="D20" i="6"/>
  <c r="D39" i="6" s="1"/>
  <c r="V114" i="16"/>
  <c r="K30" i="6" s="1"/>
  <c r="L90" i="16"/>
  <c r="H38" i="6"/>
  <c r="H20" i="6"/>
  <c r="H39" i="6" s="1"/>
  <c r="N114" i="16"/>
  <c r="G30" i="6" s="1"/>
  <c r="J114" i="16"/>
  <c r="E30" i="6" s="1"/>
  <c r="K38" i="6"/>
  <c r="K20" i="6"/>
  <c r="K39" i="6" s="1"/>
  <c r="F38" i="6"/>
  <c r="F20" i="6"/>
  <c r="F39" i="6" s="1"/>
  <c r="E38" i="6"/>
  <c r="E20" i="6"/>
  <c r="E39" i="6" s="1"/>
  <c r="P114" i="16"/>
  <c r="H30" i="6" s="1"/>
  <c r="G38" i="6"/>
  <c r="G20" i="6"/>
  <c r="G39" i="6" s="1"/>
  <c r="J38" i="6"/>
  <c r="J20" i="6"/>
  <c r="J39" i="6" s="1"/>
  <c r="I20" i="6"/>
  <c r="I39" i="6" s="1"/>
  <c r="I38" i="6"/>
  <c r="R114" i="16"/>
  <c r="I30" i="6" s="1"/>
  <c r="C38" i="6"/>
  <c r="C20" i="6"/>
  <c r="C39" i="6" s="1"/>
  <c r="C41" i="6"/>
  <c r="X110" i="16"/>
  <c r="H13" i="17"/>
  <c r="L17" i="6"/>
  <c r="L19" i="6" s="1"/>
  <c r="L28" i="6"/>
  <c r="L29" i="6" s="1"/>
  <c r="L40" i="6" s="1"/>
  <c r="L112" i="16" l="1"/>
  <c r="T112" i="16"/>
  <c r="X112" i="16"/>
  <c r="R112" i="16"/>
  <c r="V112" i="16"/>
  <c r="P112" i="16"/>
  <c r="K24" i="7"/>
  <c r="K25" i="7" s="1"/>
  <c r="J8" i="17" s="1"/>
  <c r="F8" i="38"/>
  <c r="J38" i="10"/>
  <c r="H43" i="10"/>
  <c r="J43" i="10" s="1"/>
  <c r="C34" i="6"/>
  <c r="C35" i="6" s="1"/>
  <c r="N112" i="16"/>
  <c r="I34" i="6"/>
  <c r="K34" i="6"/>
  <c r="C42" i="6"/>
  <c r="C44" i="6" s="1"/>
  <c r="C45" i="6" s="1"/>
  <c r="I41" i="6"/>
  <c r="I42" i="6" s="1"/>
  <c r="H41" i="6"/>
  <c r="H42" i="6" s="1"/>
  <c r="J41" i="6"/>
  <c r="J42" i="6" s="1"/>
  <c r="E34" i="6"/>
  <c r="K41" i="6"/>
  <c r="K42" i="6" s="1"/>
  <c r="G41" i="6"/>
  <c r="G42" i="6" s="1"/>
  <c r="E41" i="6"/>
  <c r="E42" i="6" s="1"/>
  <c r="F41" i="6"/>
  <c r="F42" i="6" s="1"/>
  <c r="D42" i="6"/>
  <c r="G34" i="6"/>
  <c r="L38" i="6"/>
  <c r="H14" i="17"/>
  <c r="L20" i="6"/>
  <c r="F34" i="6"/>
  <c r="D34" i="6"/>
  <c r="X114" i="16"/>
  <c r="L30" i="6" s="1"/>
  <c r="J34" i="6"/>
  <c r="H34" i="6"/>
  <c r="J8" i="38" l="1"/>
  <c r="D35" i="6"/>
  <c r="E35" i="6" s="1"/>
  <c r="F35" i="6" s="1"/>
  <c r="G35" i="6" s="1"/>
  <c r="H35" i="6" s="1"/>
  <c r="I35" i="6" s="1"/>
  <c r="J35" i="6" s="1"/>
  <c r="K35" i="6" s="1"/>
  <c r="E44" i="6"/>
  <c r="E45" i="6" s="1"/>
  <c r="M30" i="6"/>
  <c r="H15" i="17" s="1"/>
  <c r="L41" i="6"/>
  <c r="L34" i="6"/>
  <c r="I44" i="6"/>
  <c r="I45" i="6" s="1"/>
  <c r="G46" i="6"/>
  <c r="G44" i="6"/>
  <c r="G45" i="6" s="1"/>
  <c r="F44" i="6"/>
  <c r="F45" i="6" s="1"/>
  <c r="K44" i="6"/>
  <c r="K45" i="6" s="1"/>
  <c r="H44" i="6"/>
  <c r="H45" i="6" s="1"/>
  <c r="C49" i="11"/>
  <c r="C51" i="11" s="1"/>
  <c r="L39" i="6"/>
  <c r="J44" i="6"/>
  <c r="J45" i="6" s="1"/>
  <c r="D44" i="6"/>
  <c r="D45" i="6" s="1"/>
  <c r="L42" i="6" l="1"/>
  <c r="L46" i="6" s="1"/>
  <c r="L35" i="6"/>
  <c r="D8" i="38"/>
  <c r="D8" i="17"/>
  <c r="L44" i="6" l="1"/>
  <c r="L45" i="6" s="1"/>
  <c r="H8" i="17"/>
  <c r="I18" i="17" s="1"/>
  <c r="H8" i="38"/>
  <c r="I1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Gareth Piggott</author>
  </authors>
  <commentList>
    <comment ref="D120" authorId="0" shapeId="0" xr:uid="{2AE46E25-4885-406B-A011-A9A81E3A88C1}">
      <text>
        <r>
          <rPr>
            <sz val="9"/>
            <color indexed="81"/>
            <rFont val="Tahoma"/>
            <family val="2"/>
          </rPr>
          <t>1 hectare = 0.01 square kilometer</t>
        </r>
      </text>
    </comment>
  </commentList>
</comments>
</file>

<file path=xl/sharedStrings.xml><?xml version="1.0" encoding="utf-8"?>
<sst xmlns="http://schemas.openxmlformats.org/spreadsheetml/2006/main" count="1618" uniqueCount="920">
  <si>
    <t>Region / Country</t>
  </si>
  <si>
    <t>Population / m</t>
  </si>
  <si>
    <t>Index</t>
  </si>
  <si>
    <t>Sheet heading</t>
  </si>
  <si>
    <t>Tab</t>
  </si>
  <si>
    <t>Cover</t>
  </si>
  <si>
    <t>Total</t>
  </si>
  <si>
    <t>Year 0</t>
  </si>
  <si>
    <t>Growth rate / %</t>
  </si>
  <si>
    <t>Year 1</t>
  </si>
  <si>
    <t>Year 2</t>
  </si>
  <si>
    <t>Year 3</t>
  </si>
  <si>
    <t>Year 4</t>
  </si>
  <si>
    <t>Year 5</t>
  </si>
  <si>
    <t xml:space="preserve">Net cash </t>
  </si>
  <si>
    <t xml:space="preserve">Cumulative net cash </t>
  </si>
  <si>
    <t>Tax</t>
  </si>
  <si>
    <t>Net profit</t>
  </si>
  <si>
    <t>Royalties</t>
  </si>
  <si>
    <t>Parcels per year / bn</t>
  </si>
  <si>
    <t>Parcels #bn</t>
  </si>
  <si>
    <t>% Parcels</t>
  </si>
  <si>
    <t>BUS.</t>
  </si>
  <si>
    <t>HOME</t>
  </si>
  <si>
    <t>On road cost/hour</t>
  </si>
  <si>
    <t>Activity per driver day</t>
  </si>
  <si>
    <t>Check-in</t>
  </si>
  <si>
    <t>Cost</t>
  </si>
  <si>
    <t>Business</t>
  </si>
  <si>
    <t>Home</t>
  </si>
  <si>
    <t>Depart</t>
  </si>
  <si>
    <t>x delivery hours/day = del stops/day</t>
  </si>
  <si>
    <t>Effective stops per on road hour</t>
  </si>
  <si>
    <t>Number of delivery parcels/stop</t>
  </si>
  <si>
    <t>Number of delivery parcels/day</t>
  </si>
  <si>
    <t>Delivery cost/day</t>
  </si>
  <si>
    <t>Delivery parcels/stop</t>
  </si>
  <si>
    <t>Delivery stops/ driver day</t>
  </si>
  <si>
    <t>Total driver days/year #M</t>
  </si>
  <si>
    <t xml:space="preserve">Checkout abandon % </t>
  </si>
  <si>
    <t>billion</t>
  </si>
  <si>
    <t>Shareholder value - at multiple =</t>
  </si>
  <si>
    <t>fewer on road</t>
  </si>
  <si>
    <t>Utilisation % of max [peak]</t>
  </si>
  <si>
    <t>Days / year utilisation</t>
  </si>
  <si>
    <t>Max. number of parcels receivable / day per location</t>
  </si>
  <si>
    <t>ETAIL</t>
  </si>
  <si>
    <t>COMM</t>
  </si>
  <si>
    <t>C&amp;C</t>
  </si>
  <si>
    <t>CARR1</t>
  </si>
  <si>
    <t>CARR2</t>
  </si>
  <si>
    <t>INDEX</t>
  </si>
  <si>
    <t>Parcels - business deliveries</t>
  </si>
  <si>
    <t>Value Chain Summary</t>
  </si>
  <si>
    <t>Current</t>
  </si>
  <si>
    <t>Change</t>
  </si>
  <si>
    <t>London</t>
  </si>
  <si>
    <t>Delivery cost</t>
  </si>
  <si>
    <t>Hours</t>
  </si>
  <si>
    <t>Per hour</t>
  </si>
  <si>
    <t>Per year</t>
  </si>
  <si>
    <t>Total parcels #bn</t>
  </si>
  <si>
    <t xml:space="preserve">  Business Parcels #bn</t>
  </si>
  <si>
    <t xml:space="preserve">  Residential Parcels #bn</t>
  </si>
  <si>
    <t xml:space="preserve">      Home Parcels #bn</t>
  </si>
  <si>
    <t>Total value</t>
  </si>
  <si>
    <t>MKT1</t>
  </si>
  <si>
    <t>MKT2</t>
  </si>
  <si>
    <t>Operating cost</t>
  </si>
  <si>
    <t>To+from drive</t>
  </si>
  <si>
    <t>locations per sq km</t>
  </si>
  <si>
    <t># locations</t>
  </si>
  <si>
    <t>Average days inventory</t>
  </si>
  <si>
    <t>Area name</t>
  </si>
  <si>
    <t>Inner/ Outer London</t>
  </si>
  <si>
    <t>GLA Population estimate/ projection</t>
  </si>
  <si>
    <t>Inland Area (Hectares)</t>
  </si>
  <si>
    <t>Square Kilometres</t>
  </si>
  <si>
    <t>Population per square kilometre</t>
  </si>
  <si>
    <t>City of London</t>
  </si>
  <si>
    <t>Inner</t>
  </si>
  <si>
    <t>Barking and Dagenham</t>
  </si>
  <si>
    <t>Outer</t>
  </si>
  <si>
    <t>Barnet</t>
  </si>
  <si>
    <t>Bexley</t>
  </si>
  <si>
    <t>Brent</t>
  </si>
  <si>
    <t>Bromley</t>
  </si>
  <si>
    <t>Camden</t>
  </si>
  <si>
    <t>Ealing</t>
  </si>
  <si>
    <t>Enfield</t>
  </si>
  <si>
    <t>Greenwich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</si>
  <si>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</si>
  <si>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</si>
  <si>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</si>
  <si>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</si>
  <si>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</si>
  <si>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</si>
  <si>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</si>
  <si>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</si>
  <si>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</si>
  <si>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</si>
  <si>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</si>
  <si>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</si>
  <si>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</si>
  <si>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</si>
  <si>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</si>
  <si>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</si>
  <si>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</si>
  <si>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</si>
  <si>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</si>
  <si>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</si>
  <si>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</si>
  <si>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Inner London</t>
  </si>
  <si>
    <t>Outer London</t>
  </si>
  <si>
    <t>Cost of goods</t>
  </si>
  <si>
    <t>Sales &amp; Mktg</t>
  </si>
  <si>
    <t>Admin/other</t>
  </si>
  <si>
    <t>Year4</t>
  </si>
  <si>
    <t>Operation costs</t>
  </si>
  <si>
    <t>Sort</t>
  </si>
  <si>
    <t>Dispatch</t>
  </si>
  <si>
    <t>Redelivery</t>
  </si>
  <si>
    <t># Parcels / year m.</t>
  </si>
  <si>
    <t>Net Profit</t>
  </si>
  <si>
    <t>Pickup/returns</t>
  </si>
  <si>
    <t>Less etailers' profit share from negotiated price reduction</t>
  </si>
  <si>
    <t>SUM</t>
  </si>
  <si>
    <t>MKT</t>
  </si>
  <si>
    <t>Other finance : Equity</t>
  </si>
  <si>
    <t>Other/overheads</t>
  </si>
  <si>
    <t>GDP / £trn</t>
  </si>
  <si>
    <t>Parcels £bn</t>
  </si>
  <si>
    <t>£ / Parcel</t>
  </si>
  <si>
    <t>£/Parcel</t>
  </si>
  <si>
    <t xml:space="preserve">  Residential Parcels £/parcel</t>
  </si>
  <si>
    <t>Sq km</t>
  </si>
  <si>
    <t>x</t>
  </si>
  <si>
    <t>Selection
mark 'x'</t>
  </si>
  <si>
    <t>Year 6</t>
  </si>
  <si>
    <t>Year 7</t>
  </si>
  <si>
    <t>Year 8</t>
  </si>
  <si>
    <t>Year 9</t>
  </si>
  <si>
    <t>Year 10</t>
  </si>
  <si>
    <t>Year6</t>
  </si>
  <si>
    <t>Year7</t>
  </si>
  <si>
    <t>Year8</t>
  </si>
  <si>
    <t>Year9</t>
  </si>
  <si>
    <t>Year10</t>
  </si>
  <si>
    <t>Etail / £bn</t>
  </si>
  <si>
    <t>Total parcels £/parcel</t>
  </si>
  <si>
    <t xml:space="preserve">  Business Parcels £/parcel</t>
  </si>
  <si>
    <t xml:space="preserve">      Home Parcels £/parcel</t>
  </si>
  <si>
    <t>Total parcels £bn</t>
  </si>
  <si>
    <t xml:space="preserve">  Business Parcels £bn</t>
  </si>
  <si>
    <t xml:space="preserve">  Residential Parcels £bn</t>
  </si>
  <si>
    <t xml:space="preserve">      Home Parcels £bn</t>
  </si>
  <si>
    <t>GDP / £bn</t>
  </si>
  <si>
    <t>Etail Revenue  £bn</t>
  </si>
  <si>
    <t>Total etail value added / £bn</t>
  </si>
  <si>
    <t>Price paid: etailer-carrier / £</t>
  </si>
  <si>
    <t>Cash flow / £'000</t>
  </si>
  <si>
    <t>P+L / £'000</t>
  </si>
  <si>
    <t>Driver @ £/hour</t>
  </si>
  <si>
    <t>Vehicle @ £/hour</t>
  </si>
  <si>
    <t>Revenue per parcel / £</t>
  </si>
  <si>
    <t>Delivery cost per parcel / £</t>
  </si>
  <si>
    <t>C&amp;C charge per parcel /£</t>
  </si>
  <si>
    <t>Total revenue / £bn</t>
  </si>
  <si>
    <t>Total delivery cost / £bn</t>
  </si>
  <si>
    <t>Total carrier  value added / £bn</t>
  </si>
  <si>
    <t>CONSUMERS</t>
  </si>
  <si>
    <t>ETAILERS</t>
  </si>
  <si>
    <t>CARRIERS</t>
  </si>
  <si>
    <t>COMMUNITIES</t>
  </si>
  <si>
    <t>Total parcels</t>
  </si>
  <si>
    <t>SELECTED 'x' TOTAL</t>
  </si>
  <si>
    <t xml:space="preserve">Revenue </t>
  </si>
  <si>
    <t>current</t>
  </si>
  <si>
    <t>*****</t>
  </si>
  <si>
    <t>Urban</t>
  </si>
  <si>
    <t>Suburban</t>
  </si>
  <si>
    <t>Rural</t>
  </si>
  <si>
    <t>Croydon</t>
  </si>
  <si>
    <t>Hackney</t>
  </si>
  <si>
    <t>Pricing</t>
  </si>
  <si>
    <t>Operating Costs</t>
  </si>
  <si>
    <t>Total costs</t>
  </si>
  <si>
    <t>Returns, refunds, discounts</t>
  </si>
  <si>
    <t>Technology and content</t>
  </si>
  <si>
    <t>Average order value</t>
  </si>
  <si>
    <t>.81b-.20b x (1.19-0.24) = 580m kgs CO2 = 580,000 tonnes CO2</t>
  </si>
  <si>
    <t>Suburb</t>
  </si>
  <si>
    <t>Etailers value added - Year 10</t>
  </si>
  <si>
    <t>Parcels/year #b</t>
  </si>
  <si>
    <t>Stops / year #m</t>
  </si>
  <si>
    <t>reduction</t>
  </si>
  <si>
    <t>Year 0 or %</t>
  </si>
  <si>
    <t>of residential parcels</t>
  </si>
  <si>
    <t>missed deliveries %</t>
  </si>
  <si>
    <t># parcels</t>
  </si>
  <si>
    <t>Year5</t>
  </si>
  <si>
    <t># parcels m</t>
  </si>
  <si>
    <t>Locker density variables</t>
  </si>
  <si>
    <t>Locker capacity variables</t>
  </si>
  <si>
    <t># doors per location</t>
  </si>
  <si>
    <t>Core unit</t>
  </si>
  <si>
    <t>Add-on</t>
  </si>
  <si>
    <t>Locker unit price £</t>
  </si>
  <si>
    <t xml:space="preserve"># [CORE] UNITS FOR DENSITY </t>
  </si>
  <si>
    <t># [ADD-ON] UNITS FOR CAPACITY</t>
  </si>
  <si>
    <t>LOCKER CAPEX</t>
  </si>
  <si>
    <t>Doors/location</t>
  </si>
  <si>
    <t>Units/location</t>
  </si>
  <si>
    <t>Total # units</t>
  </si>
  <si>
    <t>Parcels/location/yr</t>
  </si>
  <si>
    <t>Area/ Region / Country</t>
  </si>
  <si>
    <t>Additional locker units required per year</t>
  </si>
  <si>
    <t>TOTAL PARCELS VOLUME/m</t>
  </si>
  <si>
    <t>(locker to home, including same day)</t>
  </si>
  <si>
    <t xml:space="preserve">Other finance : Debt </t>
  </si>
  <si>
    <t>Debt interest (at x%)</t>
  </si>
  <si>
    <t xml:space="preserve">Capital cost : lockers </t>
  </si>
  <si>
    <t>Area</t>
  </si>
  <si>
    <t>Selected area</t>
  </si>
  <si>
    <t>Households</t>
  </si>
  <si>
    <t>Cumulative Capex</t>
  </si>
  <si>
    <t>Name</t>
  </si>
  <si>
    <t>average meters between locations</t>
  </si>
  <si>
    <t>max. meters to nearest location</t>
  </si>
  <si>
    <t>Population density per sq km</t>
  </si>
  <si>
    <t>National number of locations per category</t>
  </si>
  <si>
    <t>Select phase (1-9)</t>
  </si>
  <si>
    <t>#locker locations at x per sq km N1</t>
  </si>
  <si>
    <t>Phase 1</t>
  </si>
  <si>
    <t>Phase 2</t>
  </si>
  <si>
    <t>Phase 3</t>
  </si>
  <si>
    <t>Phase 4</t>
  </si>
  <si>
    <t>Phase 5</t>
  </si>
  <si>
    <t>EBIT</t>
  </si>
  <si>
    <t>Total operating cost</t>
  </si>
  <si>
    <t>Parcels - residential deliveries</t>
  </si>
  <si>
    <t xml:space="preserve">      Collection %</t>
  </si>
  <si>
    <t xml:space="preserve">      Collect  Parcels #bn</t>
  </si>
  <si>
    <t xml:space="preserve">      Collect Parcels £/parcel</t>
  </si>
  <si>
    <t xml:space="preserve">      Collect Parcels £bn</t>
  </si>
  <si>
    <t xml:space="preserve">      Collect parcels %</t>
  </si>
  <si>
    <t xml:space="preserve">      Collect Parcels #bn</t>
  </si>
  <si>
    <t xml:space="preserve">          Total parcels #b</t>
  </si>
  <si>
    <t>Population /km2</t>
  </si>
  <si>
    <t>CON</t>
  </si>
  <si>
    <t>Selected Markets - base case</t>
  </si>
  <si>
    <t>Selected markets adjusted for consumer values</t>
  </si>
  <si>
    <t>locations / sq km</t>
  </si>
  <si>
    <t>population</t>
  </si>
  <si>
    <t>sq kms</t>
  </si>
  <si>
    <t xml:space="preserve">Online [parcel] retail / £b </t>
  </si>
  <si>
    <t xml:space="preserve">Grows at etail </t>
  </si>
  <si>
    <t>First-time customer conversion rate</t>
  </si>
  <si>
    <t>Customer retention rate</t>
  </si>
  <si>
    <t>Values added :</t>
  </si>
  <si>
    <t>Fulfilment</t>
  </si>
  <si>
    <t>TOTAL</t>
  </si>
  <si>
    <t>Admin. + support (@ £x / location/year)</t>
  </si>
  <si>
    <t>IT licencing and support (@ £x / Location /year)</t>
  </si>
  <si>
    <t>Marketing (advert+PR @ £x / year)</t>
  </si>
  <si>
    <t>Royalties ( @ x% total income / year)</t>
  </si>
  <si>
    <t>Depreciation (@ x% of cum capex)</t>
  </si>
  <si>
    <t>Locations required for 100% coverage</t>
  </si>
  <si>
    <t>Location density required per km2</t>
  </si>
  <si>
    <t># parcels m*</t>
  </si>
  <si>
    <t>Note :</t>
  </si>
  <si>
    <t>Unit cost or rate</t>
  </si>
  <si>
    <r>
      <t xml:space="preserve">DPD </t>
    </r>
    <r>
      <rPr>
        <b/>
        <sz val="10.5"/>
        <color rgb="FF599E3F"/>
        <rFont val="Times New Roman"/>
        <family val="1"/>
      </rPr>
      <t> reduced CO</t>
    </r>
    <r>
      <rPr>
        <b/>
        <vertAlign val="subscript"/>
        <sz val="8"/>
        <color rgb="FF599E3F"/>
        <rFont val="Times New Roman"/>
        <family val="1"/>
      </rPr>
      <t>2</t>
    </r>
    <r>
      <rPr>
        <b/>
        <sz val="10.5"/>
        <color rgb="FF599E3F"/>
        <rFont val="Times New Roman"/>
        <family val="1"/>
      </rPr>
      <t> emissions by over 200 tonnes, the equivalent to planting 800 trees.</t>
    </r>
  </si>
  <si>
    <t>Trip-chaining : 78% of collections done done en route to/from other scheduled trip</t>
  </si>
  <si>
    <t>TOTAL CAPEX</t>
  </si>
  <si>
    <t xml:space="preserve"> </t>
  </si>
  <si>
    <t>LCARR</t>
  </si>
  <si>
    <t>EBIT / £bn</t>
  </si>
  <si>
    <t>North East</t>
  </si>
  <si>
    <t>Yorkshire/Humber</t>
  </si>
  <si>
    <t>East Midlands</t>
  </si>
  <si>
    <t>West Midlands</t>
  </si>
  <si>
    <t>East of England</t>
  </si>
  <si>
    <t>Wales</t>
  </si>
  <si>
    <t>Scotland</t>
  </si>
  <si>
    <t>Northern Ireland</t>
  </si>
  <si>
    <t>Southeast</t>
  </si>
  <si>
    <t>Northwest</t>
  </si>
  <si>
    <t>Southwest</t>
  </si>
  <si>
    <t>Value @ multiple of …x EBIT</t>
  </si>
  <si>
    <t>EBIT Valuation multiple</t>
  </si>
  <si>
    <t xml:space="preserve">Grows at GDP </t>
  </si>
  <si>
    <t>EBIT total</t>
  </si>
  <si>
    <t>Price reduction value from etailers £b</t>
  </si>
  <si>
    <t>Consumer total annual value added (£ billion) =</t>
  </si>
  <si>
    <t xml:space="preserve">of total parcels </t>
  </si>
  <si>
    <t>200-1000</t>
  </si>
  <si>
    <t>INTRO</t>
  </si>
  <si>
    <t>Value Chain Introduction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</si>
  <si>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Growth rates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</si>
  <si>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Population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</si>
  <si>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GDP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</si>
  <si>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Etail</t>
    </r>
  </si>
  <si>
    <r>
      <t>d.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Parcel prices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</si>
  <si>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 collections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</si>
  <si>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%returns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</si>
  <si>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 missed deliveries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</si>
  <si>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 shipped C2X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</si>
  <si>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 same day/local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</si>
  <si>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 market uptake per year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</si>
  <si>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Etail growth rate with a dense, shared network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</si>
  <si>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% etail cost savings passed thru’ to consumers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</si>
  <si>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% carrier cost savings passed thru’ to etailers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</si>
  <si>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Carrier operations and costs variables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</si>
  <si>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Maximum meters to urban locations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</si>
  <si>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Maximum meters to suburban locations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</si>
  <si>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Maximum meters to rural locations</t>
    </r>
  </si>
  <si>
    <r>
      <t>15.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# doors and price per core locker unit</t>
    </r>
  </si>
  <si>
    <r>
      <t>16.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# doors and price per add-on locker unit</t>
    </r>
  </si>
  <si>
    <r>
      <t>17.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Locker days per year utilisation</t>
    </r>
  </si>
  <si>
    <r>
      <t>18.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Locker % of peak utilisation</t>
    </r>
  </si>
  <si>
    <r>
      <t>19.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Locker # days inventory</t>
    </r>
  </si>
  <si>
    <r>
      <t>20.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Locker price paid per usage</t>
    </r>
  </si>
  <si>
    <r>
      <t>21.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Locker operator key operating cost variables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</si>
  <si>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Import and installation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</si>
  <si>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Site operation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</si>
  <si>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IT licensing</t>
    </r>
  </si>
  <si>
    <r>
      <t>d.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Marketing</t>
    </r>
  </si>
  <si>
    <r>
      <t>e.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Admin</t>
    </r>
  </si>
  <si>
    <r>
      <t>f.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Depreciation %</t>
    </r>
  </si>
  <si>
    <r>
      <t>22.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Local carriers unit revenue</t>
    </r>
  </si>
  <si>
    <r>
      <t>23.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Local carriers unit costs</t>
    </r>
  </si>
  <si>
    <t>Total per year</t>
  </si>
  <si>
    <t>≡ stops per delivery hour :</t>
  </si>
  <si>
    <t>Kms</t>
  </si>
  <si>
    <t>Delivery (incl. drive)</t>
  </si>
  <si>
    <t>Parcels and locations</t>
  </si>
  <si>
    <r>
      <t>Total operating cost</t>
    </r>
    <r>
      <rPr>
        <sz val="11"/>
        <color theme="1"/>
        <rFont val="Calibri"/>
        <family val="2"/>
        <scheme val="minor"/>
      </rPr>
      <t xml:space="preserve"> (@ x% inflation / year)</t>
    </r>
  </si>
  <si>
    <t>Working table for add-on units -  do not edit</t>
  </si>
  <si>
    <t>Average annual location capex</t>
  </si>
  <si>
    <t>Total locations</t>
  </si>
  <si>
    <t>per parcel</t>
  </si>
  <si>
    <t>Delivery (@ £x / parcel)</t>
  </si>
  <si>
    <t># delivery hours/yr m. (@ xx parcels/hour delivery rate)</t>
  </si>
  <si>
    <t># delivery routes/day (@ xx hours per route)</t>
  </si>
  <si>
    <t>Delivery earnings/route/day</t>
  </si>
  <si>
    <t>Collection</t>
  </si>
  <si>
    <t>Return</t>
  </si>
  <si>
    <t>Missed delivery</t>
  </si>
  <si>
    <t xml:space="preserve">Send </t>
  </si>
  <si>
    <t>Home Delivery</t>
  </si>
  <si>
    <t>Local/same day home delivery</t>
  </si>
  <si>
    <t xml:space="preserve"># m hrs saved </t>
  </si>
  <si>
    <t>Geographic markets</t>
  </si>
  <si>
    <t>Markets</t>
  </si>
  <si>
    <t>Consumer value added £b/year</t>
  </si>
  <si>
    <t>Delivery route parcels/day</t>
  </si>
  <si>
    <t># delivery days/year</t>
  </si>
  <si>
    <t>Walk from</t>
  </si>
  <si>
    <t>EBIT %</t>
  </si>
  <si>
    <t>Total other operational cost / £bn</t>
  </si>
  <si>
    <t>Operating contribution / £bn</t>
  </si>
  <si>
    <t>Overheads / £bn (@ x% revenue)</t>
  </si>
  <si>
    <t>Gross profit</t>
  </si>
  <si>
    <t>Other operational cost per parcel / £</t>
  </si>
  <si>
    <t>Delivery cost/parcel</t>
  </si>
  <si>
    <t>Contribution per parcel / £</t>
  </si>
  <si>
    <t>Other operating cost/parcel (@ x% of revenue)</t>
  </si>
  <si>
    <t>Parcels/location/day</t>
  </si>
  <si>
    <t xml:space="preserve">Vehicles on road </t>
  </si>
  <si>
    <t>per vehicle</t>
  </si>
  <si>
    <t>Vehicle depreciation (@ x years)</t>
  </si>
  <si>
    <t>£/tonne</t>
  </si>
  <si>
    <r>
      <t xml:space="preserve">Road accidents  </t>
    </r>
    <r>
      <rPr>
        <sz val="12"/>
        <color theme="1"/>
        <rFont val="Calibri"/>
        <family val="2"/>
      </rPr>
      <t>»</t>
    </r>
    <r>
      <rPr>
        <sz val="12"/>
        <color theme="1"/>
        <rFont val="Calibri"/>
        <family val="2"/>
        <scheme val="minor"/>
      </rPr>
      <t xml:space="preserve">  injuries/deaths</t>
    </r>
  </si>
  <si>
    <t>Note : plus potential market share of local carrier value /£bn</t>
  </si>
  <si>
    <t>Inputs/assumptions are highlighted in yellow</t>
  </si>
  <si>
    <t>Some of these inputs are key variables impacting stakeholder values.</t>
  </si>
  <si>
    <t>£ / yr</t>
  </si>
  <si>
    <t>Difference</t>
  </si>
  <si>
    <t>kms/trip</t>
  </si>
  <si>
    <t>m kms/yr</t>
  </si>
  <si>
    <t>Less :</t>
  </si>
  <si>
    <t>Fewer car shopping trips  #m/yr</t>
  </si>
  <si>
    <t>Plus :</t>
  </si>
  <si>
    <t>Additional car PUDO trips for collection #/m</t>
  </si>
  <si>
    <t>Car shopping trips /household/year</t>
  </si>
  <si>
    <t>ALL</t>
  </si>
  <si>
    <t>Car shopping distance/trip</t>
  </si>
  <si>
    <t>Car CO₂ g/km</t>
  </si>
  <si>
    <t>Van CO₂ g/km</t>
  </si>
  <si>
    <t xml:space="preserve"> CO₂ £/tonne</t>
  </si>
  <si>
    <t>Fewer car PUDO trips #m/yr for return parcels</t>
  </si>
  <si>
    <t>Fewer car PUDO trips #m/yr for missed delivery</t>
  </si>
  <si>
    <t>Fewer car PUDO trips #m/yr for ship from</t>
  </si>
  <si>
    <t>% population (equivalent to % parcels)</t>
  </si>
  <si>
    <r>
      <t xml:space="preserve">Air pollution </t>
    </r>
    <r>
      <rPr>
        <sz val="12"/>
        <color theme="1"/>
        <rFont val="Calibri"/>
        <family val="2"/>
      </rPr>
      <t>»</t>
    </r>
    <r>
      <rPr>
        <sz val="12"/>
        <color theme="1"/>
        <rFont val="Calibri"/>
        <family val="2"/>
        <scheme val="minor"/>
      </rPr>
      <t xml:space="preserve">  respiratory health events</t>
    </r>
  </si>
  <si>
    <t xml:space="preserve">Home Delivery # m hrs saved </t>
  </si>
  <si>
    <t xml:space="preserve">Collection # m hrs saved </t>
  </si>
  <si>
    <t xml:space="preserve">Return # m hrs saved </t>
  </si>
  <si>
    <t xml:space="preserve">Missed delivery # m hrs saved </t>
  </si>
  <si>
    <t xml:space="preserve">Send # m hrs saved </t>
  </si>
  <si>
    <t xml:space="preserve">Local/same day home delivery  # m hrs saved </t>
  </si>
  <si>
    <t xml:space="preserve">Total   # m hrs saved </t>
  </si>
  <si>
    <t>*</t>
  </si>
  <si>
    <t>***</t>
  </si>
  <si>
    <t>….as % of</t>
  </si>
  <si>
    <t>residential parcels</t>
  </si>
  <si>
    <t>collections</t>
  </si>
  <si>
    <t>home deliveries</t>
  </si>
  <si>
    <t>Price</t>
  </si>
  <si>
    <t>Security</t>
  </si>
  <si>
    <t>**</t>
  </si>
  <si>
    <t>Time value added £b (@£x per hour)</t>
  </si>
  <si>
    <t xml:space="preserve">             U S A G E</t>
  </si>
  <si>
    <r>
      <t>CO</t>
    </r>
    <r>
      <rPr>
        <b/>
        <sz val="11"/>
        <color theme="0"/>
        <rFont val="Calibri"/>
        <family val="2"/>
      </rPr>
      <t>₂</t>
    </r>
    <r>
      <rPr>
        <b/>
        <sz val="11"/>
        <color theme="0"/>
        <rFont val="Calibri"/>
        <family val="2"/>
        <scheme val="minor"/>
      </rPr>
      <t>/traffic</t>
    </r>
  </si>
  <si>
    <t>Royalty payment from PUDO £b</t>
  </si>
  <si>
    <t>* # parcels m = PUDO targeted share (MKT2) adjusted for market penetration (CON) and geographic coverage (locations % of total)</t>
  </si>
  <si>
    <t>Price paid: carrier-PUDO / £</t>
  </si>
  <si>
    <t>National Carrier Costs</t>
  </si>
  <si>
    <t xml:space="preserve">National Carrier Value </t>
  </si>
  <si>
    <t>Etail Value</t>
  </si>
  <si>
    <t>Consumer Value</t>
  </si>
  <si>
    <t>PUDO1</t>
  </si>
  <si>
    <t>PUDO2</t>
  </si>
  <si>
    <t>Local carrier Value</t>
  </si>
  <si>
    <t>Communities Value</t>
  </si>
  <si>
    <r>
      <t>24.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CO2 cost per km and tonne</t>
    </r>
  </si>
  <si>
    <t>25. % collections tripchain</t>
  </si>
  <si>
    <t>26. % trips by car</t>
  </si>
  <si>
    <t>27. %'s urban/suburban /rural</t>
  </si>
  <si>
    <t>LCARRs²</t>
  </si>
  <si>
    <r>
      <t>LCARRs</t>
    </r>
    <r>
      <rPr>
        <sz val="11"/>
        <color theme="1"/>
        <rFont val="Calibri"/>
        <family val="2"/>
      </rPr>
      <t>²</t>
    </r>
  </si>
  <si>
    <t>Local Carriers</t>
  </si>
  <si>
    <t>DOPN¹</t>
  </si>
  <si>
    <t>Dense, Open Pick-Up-Drop-Off Network</t>
  </si>
  <si>
    <t>With DOPN</t>
  </si>
  <si>
    <r>
      <t>CO</t>
    </r>
    <r>
      <rPr>
        <i/>
        <sz val="11"/>
        <color theme="0"/>
        <rFont val="Calibri"/>
        <family val="2"/>
      </rPr>
      <t>₂</t>
    </r>
    <r>
      <rPr>
        <i/>
        <sz val="11"/>
        <color theme="0"/>
        <rFont val="Calibri"/>
        <family val="2"/>
        <scheme val="minor"/>
      </rPr>
      <t xml:space="preserve"> g/km</t>
    </r>
  </si>
  <si>
    <t>w/o DOPN Yr10</t>
  </si>
  <si>
    <t>w DOPN Yr 10</t>
  </si>
  <si>
    <t>urban</t>
  </si>
  <si>
    <t>suburban</t>
  </si>
  <si>
    <t>rural</t>
  </si>
  <si>
    <t>% by car (cf foot/bike/public transport ..) w/o DOPN</t>
  </si>
  <si>
    <t>% by car (cf foot/bike/public transport ..) w DOPN</t>
  </si>
  <si>
    <t>% population</t>
  </si>
  <si>
    <t xml:space="preserve"> avge PUDO time with DOPN wt by mode</t>
  </si>
  <si>
    <t>avge meters to nearest destination</t>
  </si>
  <si>
    <t>kms/round-trip [= kms/parcel) w/o DOPN</t>
  </si>
  <si>
    <t>kms/round-trip [= kms/parcel) w DOPN</t>
  </si>
  <si>
    <t>kms/round-trip reduction w DOPN</t>
  </si>
  <si>
    <t>DOPNYear 10 Collection parcels #/m</t>
  </si>
  <si>
    <t>DOPN Year 10 Return parcels #/m</t>
  </si>
  <si>
    <t>DOPN Year 10 Missed Delivery parcels #/m</t>
  </si>
  <si>
    <t>DOPN Year 10 Ship from parcels #/m</t>
  </si>
  <si>
    <t>Year 10 DOPN Impact</t>
  </si>
  <si>
    <t>&gt;1000</t>
  </si>
  <si>
    <t>&lt;200</t>
  </si>
  <si>
    <t>Population %</t>
  </si>
  <si>
    <t>avge minutes round-trip walk time @ x kms/hr</t>
  </si>
  <si>
    <t>% by car (cf foot/bike) w DOPN</t>
  </si>
  <si>
    <t>avge minutes round-trip drive time @ x kms/hr</t>
  </si>
  <si>
    <t xml:space="preserve">           O T H E R    I M P A C T S</t>
  </si>
  <si>
    <t xml:space="preserve">                         DOPN     C O N S U M E R    T I M E     I M P A C T S </t>
  </si>
  <si>
    <t>Once a geography has an established DOPN it will still take time to convert potential users (consumers, etailers and carriers)</t>
  </si>
  <si>
    <t>DOPN Value</t>
  </si>
  <si>
    <t>DOPN Locker Network</t>
  </si>
  <si>
    <t>DOPN Addressable Market with 100% geographic coverage</t>
  </si>
  <si>
    <t>London Phase Plan</t>
  </si>
  <si>
    <t>London phase plan summary</t>
  </si>
  <si>
    <t>MYE5: Population estimates: Population density for local authorities in the UK, mid-2001 to mid-2019</t>
  </si>
  <si>
    <t>Geography1</t>
  </si>
  <si>
    <t>Area (sq km)</t>
  </si>
  <si>
    <t>Estimated Population mid-2019</t>
  </si>
  <si>
    <t>2019 people per sq. km</t>
  </si>
  <si>
    <t>cum. area %</t>
  </si>
  <si>
    <t>cum. pop %</t>
  </si>
  <si>
    <t>$3 London Borough</t>
  </si>
  <si>
    <t>Portsmouth</t>
  </si>
  <si>
    <t>$7 Unitary Authority</t>
  </si>
  <si>
    <t>Southampton</t>
  </si>
  <si>
    <t>Luton</t>
  </si>
  <si>
    <t>Leicester</t>
  </si>
  <si>
    <t>Manchester</t>
  </si>
  <si>
    <t>$5 Metropolitan District</t>
  </si>
  <si>
    <t>Slough</t>
  </si>
  <si>
    <t>Watford</t>
  </si>
  <si>
    <t>$6 Non-metropolitan District</t>
  </si>
  <si>
    <t>Nottingham</t>
  </si>
  <si>
    <t>Liverpool</t>
  </si>
  <si>
    <t>Southend-on-Sea</t>
  </si>
  <si>
    <t>Birmingham</t>
  </si>
  <si>
    <t>Bristol, City of</t>
  </si>
  <si>
    <t>Reading</t>
  </si>
  <si>
    <t>Blackpool</t>
  </si>
  <si>
    <t>Sandwell</t>
  </si>
  <si>
    <t>Wolverhampton</t>
  </si>
  <si>
    <t>Coventry</t>
  </si>
  <si>
    <t>Kingston upon Hull, City of</t>
  </si>
  <si>
    <t>Glasgow City</t>
  </si>
  <si>
    <t>$4 Council Area</t>
  </si>
  <si>
    <t>Norwich</t>
  </si>
  <si>
    <t>Brighton and Hove</t>
  </si>
  <si>
    <t>Ipswich</t>
  </si>
  <si>
    <t>Worthing</t>
  </si>
  <si>
    <t>Stevenage</t>
  </si>
  <si>
    <t>Gosport</t>
  </si>
  <si>
    <t>Oxford</t>
  </si>
  <si>
    <t>Derby</t>
  </si>
  <si>
    <t>Dudley</t>
  </si>
  <si>
    <t>Plymouth</t>
  </si>
  <si>
    <t>Gloucester</t>
  </si>
  <si>
    <t>Hastings</t>
  </si>
  <si>
    <t>Cambridge</t>
  </si>
  <si>
    <t>Worcester</t>
  </si>
  <si>
    <t>Harlow</t>
  </si>
  <si>
    <t>Exeter</t>
  </si>
  <si>
    <t>Lincoln</t>
  </si>
  <si>
    <t>Northampton</t>
  </si>
  <si>
    <t>Walsall</t>
  </si>
  <si>
    <t>Stoke-on-Trent</t>
  </si>
  <si>
    <t>Newcastle upon Tyne</t>
  </si>
  <si>
    <t>Salford</t>
  </si>
  <si>
    <t>Middlesbrough</t>
  </si>
  <si>
    <t>Cardiff</t>
  </si>
  <si>
    <t>North Tyneside</t>
  </si>
  <si>
    <t>Crawley</t>
  </si>
  <si>
    <t>Dundee City</t>
  </si>
  <si>
    <t>Cheltenham</t>
  </si>
  <si>
    <t>Belfast</t>
  </si>
  <si>
    <t>$4 Local Government District</t>
  </si>
  <si>
    <t>Tamworth</t>
  </si>
  <si>
    <t>Bournemouth, Christchurch and Poole</t>
  </si>
  <si>
    <t>Oadby and Wigston</t>
  </si>
  <si>
    <t>Rushmoor</t>
  </si>
  <si>
    <t>Epsom and Ewell</t>
  </si>
  <si>
    <t>Eastbourne</t>
  </si>
  <si>
    <t>South Tyneside</t>
  </si>
  <si>
    <t>Stockport</t>
  </si>
  <si>
    <t>Havant</t>
  </si>
  <si>
    <t>Trafford</t>
  </si>
  <si>
    <t>Spelthorne</t>
  </si>
  <si>
    <t>Tameside</t>
  </si>
  <si>
    <t>Torbay</t>
  </si>
  <si>
    <t>Bolton</t>
  </si>
  <si>
    <t>Castle Point</t>
  </si>
  <si>
    <t>Sunderland</t>
  </si>
  <si>
    <t>Wirral</t>
  </si>
  <si>
    <t>City of Edinburgh</t>
  </si>
  <si>
    <t>Bury</t>
  </si>
  <si>
    <t>Broxbourne</t>
  </si>
  <si>
    <t>Sefton</t>
  </si>
  <si>
    <t>Wigan</t>
  </si>
  <si>
    <t>Knowsley</t>
  </si>
  <si>
    <t>Basildon</t>
  </si>
  <si>
    <t>Eastleigh</t>
  </si>
  <si>
    <t>Oldham</t>
  </si>
  <si>
    <t>Nuneaton and Bedworth</t>
  </si>
  <si>
    <t>Halton</t>
  </si>
  <si>
    <t>Sheffield</t>
  </si>
  <si>
    <t>Chesterfield</t>
  </si>
  <si>
    <t>Woking</t>
  </si>
  <si>
    <t>Redditch</t>
  </si>
  <si>
    <t>Fareham</t>
  </si>
  <si>
    <t>Dartford</t>
  </si>
  <si>
    <t>Adur</t>
  </si>
  <si>
    <t>Bradford</t>
  </si>
  <si>
    <t>Elmbridge</t>
  </si>
  <si>
    <t>Leeds</t>
  </si>
  <si>
    <t>Medway</t>
  </si>
  <si>
    <t>Mansfield</t>
  </si>
  <si>
    <t>Broxtowe</t>
  </si>
  <si>
    <t>Gateshead</t>
  </si>
  <si>
    <t>Rochdale</t>
  </si>
  <si>
    <t>Thanet</t>
  </si>
  <si>
    <t>St. Helens</t>
  </si>
  <si>
    <t>Cannock Chase</t>
  </si>
  <si>
    <t>Aberdeen City</t>
  </si>
  <si>
    <t>Solihull</t>
  </si>
  <si>
    <t>Ashfield</t>
  </si>
  <si>
    <t>Warrington</t>
  </si>
  <si>
    <t>Reigate and Banstead</t>
  </si>
  <si>
    <t>Runnymede</t>
  </si>
  <si>
    <t>Bracknell Forest</t>
  </si>
  <si>
    <t>Hyndburn</t>
  </si>
  <si>
    <t>Blackburn with Darwen</t>
  </si>
  <si>
    <t>Gravesham</t>
  </si>
  <si>
    <t>Kirklees</t>
  </si>
  <si>
    <t>Thurrock</t>
  </si>
  <si>
    <t>Erewash</t>
  </si>
  <si>
    <t>Three Rivers</t>
  </si>
  <si>
    <t>Hertsmere</t>
  </si>
  <si>
    <t>Wakefield</t>
  </si>
  <si>
    <t>Preston</t>
  </si>
  <si>
    <t>Hartlepool</t>
  </si>
  <si>
    <t>Gedling</t>
  </si>
  <si>
    <t>South Ribble</t>
  </si>
  <si>
    <t>Swindon</t>
  </si>
  <si>
    <t>Stockton-on-Tees</t>
  </si>
  <si>
    <t>Wokingham</t>
  </si>
  <si>
    <t>Welwyn Hatfield</t>
  </si>
  <si>
    <t>Surrey Heath</t>
  </si>
  <si>
    <t>Rotherham</t>
  </si>
  <si>
    <t>St Albans</t>
  </si>
  <si>
    <t>Corby</t>
  </si>
  <si>
    <t>Milton Keynes</t>
  </si>
  <si>
    <t>Barrow-in-Furness</t>
  </si>
  <si>
    <t>North East Lincolnshire</t>
  </si>
  <si>
    <t>Newport</t>
  </si>
  <si>
    <t>Burnley</t>
  </si>
  <si>
    <t>Blaby</t>
  </si>
  <si>
    <t>York</t>
  </si>
  <si>
    <t>Windsor and Maidenhead</t>
  </si>
  <si>
    <t>Barnsley</t>
  </si>
  <si>
    <t>Torfaen</t>
  </si>
  <si>
    <t>Dacorum</t>
  </si>
  <si>
    <t>Arun</t>
  </si>
  <si>
    <t>North Lanarkshire</t>
  </si>
  <si>
    <t>Renfrewshire</t>
  </si>
  <si>
    <t>Charnwood</t>
  </si>
  <si>
    <t>Swansea</t>
  </si>
  <si>
    <t>Caerphilly</t>
  </si>
  <si>
    <t>Blaenau Gwent</t>
  </si>
  <si>
    <t>East Dunbartonshire</t>
  </si>
  <si>
    <t>Telford and Wrekin</t>
  </si>
  <si>
    <t>Newcastle-under-Lyme</t>
  </si>
  <si>
    <t>Colchester</t>
  </si>
  <si>
    <t>Peterborough</t>
  </si>
  <si>
    <t>Bridgend</t>
  </si>
  <si>
    <t>Chorley</t>
  </si>
  <si>
    <t>Calderdale</t>
  </si>
  <si>
    <t>North Somerset</t>
  </si>
  <si>
    <t>South Gloucestershire</t>
  </si>
  <si>
    <t>Great Yarmouth</t>
  </si>
  <si>
    <t>Rhondda Cynon Taf</t>
  </si>
  <si>
    <t>West Dunbartonshire</t>
  </si>
  <si>
    <t>Redcar and Cleveland</t>
  </si>
  <si>
    <t>Bath and North East Somerset</t>
  </si>
  <si>
    <t>Tonbridge and Malling</t>
  </si>
  <si>
    <t>Guildford</t>
  </si>
  <si>
    <t>Doncaster</t>
  </si>
  <si>
    <t>East Renfrewshire</t>
  </si>
  <si>
    <t>Pendle</t>
  </si>
  <si>
    <t>Falkirk</t>
  </si>
  <si>
    <t>Darlington</t>
  </si>
  <si>
    <t>Merthyr Tydfil</t>
  </si>
  <si>
    <t>Canterbury</t>
  </si>
  <si>
    <t>Chelmsford</t>
  </si>
  <si>
    <t>Rochford</t>
  </si>
  <si>
    <t>Rossendale</t>
  </si>
  <si>
    <t>Wyre Forest</t>
  </si>
  <si>
    <t>Warwick</t>
  </si>
  <si>
    <t>Brentwood</t>
  </si>
  <si>
    <t>Bolsover</t>
  </si>
  <si>
    <t>Wellingborough</t>
  </si>
  <si>
    <t>Fylde</t>
  </si>
  <si>
    <t>Inverclyde</t>
  </si>
  <si>
    <t>Amber Valley</t>
  </si>
  <si>
    <t>Bromsgrove</t>
  </si>
  <si>
    <t>Mid Sussex</t>
  </si>
  <si>
    <t>Hart</t>
  </si>
  <si>
    <t>Maidstone</t>
  </si>
  <si>
    <t>Kettering</t>
  </si>
  <si>
    <t>Tendring</t>
  </si>
  <si>
    <t>West Lothian</t>
  </si>
  <si>
    <t>Central Bedfordshire</t>
  </si>
  <si>
    <t>Vale of Glamorgan</t>
  </si>
  <si>
    <t>Swale</t>
  </si>
  <si>
    <t>Wyre</t>
  </si>
  <si>
    <t>Epping Forest</t>
  </si>
  <si>
    <t>Hinckley and Bosworth</t>
  </si>
  <si>
    <t>Dover</t>
  </si>
  <si>
    <t>Cheshire West and Chester</t>
  </si>
  <si>
    <t>Isle of Wight</t>
  </si>
  <si>
    <t>North West Leicestershire</t>
  </si>
  <si>
    <t>North East Derbyshire</t>
  </si>
  <si>
    <t>Waverley</t>
  </si>
  <si>
    <t>Bedford</t>
  </si>
  <si>
    <t>Tunbridge Wells</t>
  </si>
  <si>
    <t>North Hertfordshire</t>
  </si>
  <si>
    <t>Tandridge</t>
  </si>
  <si>
    <t>Flintshire</t>
  </si>
  <si>
    <t>Lewes</t>
  </si>
  <si>
    <t>Buckinghamshire</t>
  </si>
  <si>
    <t>Mole Valley</t>
  </si>
  <si>
    <t>West Lancashire</t>
  </si>
  <si>
    <t>Cheshire East</t>
  </si>
  <si>
    <t>Sevenoaks</t>
  </si>
  <si>
    <t>Neath Port Talbot</t>
  </si>
  <si>
    <t>Clackmannanshire</t>
  </si>
  <si>
    <t>South Derbyshire</t>
  </si>
  <si>
    <t>Folkestone and Hythe</t>
  </si>
  <si>
    <t>Lichfield</t>
  </si>
  <si>
    <t>East Hertfordshire</t>
  </si>
  <si>
    <t>Rugby</t>
  </si>
  <si>
    <t>East Staffordshire</t>
  </si>
  <si>
    <t>Rushcliffe</t>
  </si>
  <si>
    <t>Lisburn and Castlereagh</t>
  </si>
  <si>
    <t>Ards and North Down</t>
  </si>
  <si>
    <t>Fife</t>
  </si>
  <si>
    <t>Basingstoke and Deane</t>
  </si>
  <si>
    <t>South Staffordshire</t>
  </si>
  <si>
    <t>Horsham</t>
  </si>
  <si>
    <t>Wrexham</t>
  </si>
  <si>
    <t>Midlothian</t>
  </si>
  <si>
    <t>Stroud</t>
  </si>
  <si>
    <t>Lancaster</t>
  </si>
  <si>
    <t>Cherwell</t>
  </si>
  <si>
    <t>Antrim and Newtownabbey</t>
  </si>
  <si>
    <t>Braintree</t>
  </si>
  <si>
    <t>New Forest</t>
  </si>
  <si>
    <t>East Hampshire</t>
  </si>
  <si>
    <t>County Durham</t>
  </si>
  <si>
    <t>Broadland</t>
  </si>
  <si>
    <t>Vale of White Horse</t>
  </si>
  <si>
    <t>North Warwickshire</t>
  </si>
  <si>
    <t>Stafford</t>
  </si>
  <si>
    <t>Tewkesbury</t>
  </si>
  <si>
    <t>West Berkshire</t>
  </si>
  <si>
    <t>Ashford</t>
  </si>
  <si>
    <t>Sedgemoor</t>
  </si>
  <si>
    <t>South Oxfordshire</t>
  </si>
  <si>
    <t>North Lincolnshire</t>
  </si>
  <si>
    <t>Test Valley</t>
  </si>
  <si>
    <t>Teignbridge</t>
  </si>
  <si>
    <t>East Suffolk</t>
  </si>
  <si>
    <t>Huntingdonshire</t>
  </si>
  <si>
    <t>Wychavon</t>
  </si>
  <si>
    <t>Wealden</t>
  </si>
  <si>
    <t>Boston</t>
  </si>
  <si>
    <t>Rother</t>
  </si>
  <si>
    <t>Winchester</t>
  </si>
  <si>
    <t>Newark and Sherwood</t>
  </si>
  <si>
    <t>Fenland</t>
  </si>
  <si>
    <t>East Northamptonshire</t>
  </si>
  <si>
    <t>Bassetlaw</t>
  </si>
  <si>
    <t>South Lanarkshire</t>
  </si>
  <si>
    <t>Maldon</t>
  </si>
  <si>
    <t>East Devon</t>
  </si>
  <si>
    <t>South Cambridgeshire</t>
  </si>
  <si>
    <t>South Somerset</t>
  </si>
  <si>
    <t>West Suffolk</t>
  </si>
  <si>
    <t>High Peak</t>
  </si>
  <si>
    <t>Staffordshire Moorlands</t>
  </si>
  <si>
    <t>Forest of Dean</t>
  </si>
  <si>
    <t>Armagh City, Banbridge and Craigavon</t>
  </si>
  <si>
    <t>Cornwall</t>
  </si>
  <si>
    <t>Harborough</t>
  </si>
  <si>
    <t>East Lothian</t>
  </si>
  <si>
    <t>Mendip</t>
  </si>
  <si>
    <t>South Norfolk</t>
  </si>
  <si>
    <t>Babergh</t>
  </si>
  <si>
    <t>West Oxfordshire</t>
  </si>
  <si>
    <t>Chichester</t>
  </si>
  <si>
    <t>Wiltshire</t>
  </si>
  <si>
    <t>North Ayrshire</t>
  </si>
  <si>
    <t>Dorset</t>
  </si>
  <si>
    <t>Selby</t>
  </si>
  <si>
    <t>South Kesteven</t>
  </si>
  <si>
    <t>South Northamptonshire</t>
  </si>
  <si>
    <t>Uttlesford</t>
  </si>
  <si>
    <t>East Riding of Yorkshire</t>
  </si>
  <si>
    <t>East Cambridgeshire</t>
  </si>
  <si>
    <t>Malvern Hills</t>
  </si>
  <si>
    <t>Isles of Scilly</t>
  </si>
  <si>
    <t>Scarborough</t>
  </si>
  <si>
    <t>Stratford-on-Avon</t>
  </si>
  <si>
    <t>Mid and East Antrim</t>
  </si>
  <si>
    <t>Somerset West and Taunton</t>
  </si>
  <si>
    <t>Daventry</t>
  </si>
  <si>
    <t>North Kesteven</t>
  </si>
  <si>
    <t>South Holland</t>
  </si>
  <si>
    <t>Harrogate</t>
  </si>
  <si>
    <t>Derry City and Strabane</t>
  </si>
  <si>
    <t>Mid Suffolk</t>
  </si>
  <si>
    <t>Denbighshire</t>
  </si>
  <si>
    <t>Monmouthshire</t>
  </si>
  <si>
    <t>North Norfolk</t>
  </si>
  <si>
    <t>Breckland</t>
  </si>
  <si>
    <t>Melton</t>
  </si>
  <si>
    <t>Carlisle</t>
  </si>
  <si>
    <t>King's Lynn and West Norfolk</t>
  </si>
  <si>
    <t>Rutland</t>
  </si>
  <si>
    <t>Ribble Valley</t>
  </si>
  <si>
    <t>Conwy</t>
  </si>
  <si>
    <t>Shropshire</t>
  </si>
  <si>
    <t>South Hams</t>
  </si>
  <si>
    <t>Isle of Anglesey</t>
  </si>
  <si>
    <t>East Ayrshire</t>
  </si>
  <si>
    <t>Copeland</t>
  </si>
  <si>
    <t>South Ayrshire</t>
  </si>
  <si>
    <t>Derbyshire Dales</t>
  </si>
  <si>
    <t>Mid Devon</t>
  </si>
  <si>
    <t>North Devon</t>
  </si>
  <si>
    <t>Herefordshire, County of</t>
  </si>
  <si>
    <t>West Lindsey</t>
  </si>
  <si>
    <t>Mid Ulster</t>
  </si>
  <si>
    <t>East Lindsey</t>
  </si>
  <si>
    <t>Carmarthenshire</t>
  </si>
  <si>
    <t>Allerdale</t>
  </si>
  <si>
    <t>Pembrokeshire</t>
  </si>
  <si>
    <t>Cotswold</t>
  </si>
  <si>
    <t>Causeway Coast and Glens</t>
  </si>
  <si>
    <t>Hambleton</t>
  </si>
  <si>
    <t>Torridge</t>
  </si>
  <si>
    <t>South Lakeland</t>
  </si>
  <si>
    <t>Northumberland</t>
  </si>
  <si>
    <t>Angus</t>
  </si>
  <si>
    <t>Craven</t>
  </si>
  <si>
    <t>Gwynedd</t>
  </si>
  <si>
    <t>West Devon</t>
  </si>
  <si>
    <t>Moray</t>
  </si>
  <si>
    <t>Stirling</t>
  </si>
  <si>
    <t>Aberdeenshire</t>
  </si>
  <si>
    <t>Fermanagh and Omagh</t>
  </si>
  <si>
    <t>Richmondshire</t>
  </si>
  <si>
    <t>Ceredigion</t>
  </si>
  <si>
    <t>Ryedale</t>
  </si>
  <si>
    <t>Perth and Kinross</t>
  </si>
  <si>
    <t>Powys</t>
  </si>
  <si>
    <t>Eden</t>
  </si>
  <si>
    <t>Scottish Borders</t>
  </si>
  <si>
    <t>Dumfries and Galloway</t>
  </si>
  <si>
    <t>Orkney Islands</t>
  </si>
  <si>
    <t>Shetland Islands</t>
  </si>
  <si>
    <t>Argyll and Bute</t>
  </si>
  <si>
    <t>Highland</t>
  </si>
  <si>
    <t>Na h-Eileanan Siar</t>
  </si>
  <si>
    <t>Newry, Mourne and Down</t>
  </si>
  <si>
    <t>UK TOTAL</t>
  </si>
  <si>
    <t>w/o DOPN</t>
  </si>
  <si>
    <t>Without DOPN: Year 10</t>
  </si>
  <si>
    <t>With DOPN: Year 10</t>
  </si>
  <si>
    <t>Activity per type of stop</t>
  </si>
  <si>
    <t>Fewer delivery vehicles on road</t>
  </si>
  <si>
    <r>
      <t xml:space="preserve">Other community impacts </t>
    </r>
    <r>
      <rPr>
        <b/>
        <u/>
        <sz val="12"/>
        <color theme="1"/>
        <rFont val="Calibri"/>
        <family val="2"/>
        <scheme val="minor"/>
      </rPr>
      <t>not</t>
    </r>
    <r>
      <rPr>
        <b/>
        <sz val="12"/>
        <color theme="1"/>
        <rFont val="Calibri"/>
        <family val="2"/>
        <scheme val="minor"/>
      </rPr>
      <t xml:space="preserve"> measured here include:</t>
    </r>
  </si>
  <si>
    <r>
      <t xml:space="preserve">Congestion </t>
    </r>
    <r>
      <rPr>
        <sz val="12"/>
        <rFont val="Calibri"/>
        <family val="2"/>
      </rPr>
      <t>»</t>
    </r>
    <r>
      <rPr>
        <sz val="12"/>
        <rFont val="Arial Narrow"/>
        <family val="2"/>
      </rPr>
      <t xml:space="preserve"> time wasted </t>
    </r>
    <r>
      <rPr>
        <sz val="12"/>
        <rFont val="Calibri"/>
        <family val="2"/>
      </rPr>
      <t>»</t>
    </r>
    <r>
      <rPr>
        <sz val="12"/>
        <rFont val="Arial Narrow"/>
        <family val="2"/>
      </rPr>
      <t xml:space="preserve">  lower productivity / GDP growth</t>
    </r>
  </si>
  <si>
    <r>
      <t xml:space="preserve">Noise pollution  </t>
    </r>
    <r>
      <rPr>
        <sz val="12"/>
        <color theme="1"/>
        <rFont val="Calibri"/>
        <family val="2"/>
      </rPr>
      <t>»</t>
    </r>
    <r>
      <rPr>
        <sz val="12"/>
        <color theme="1"/>
        <rFont val="Calibri"/>
        <family val="2"/>
        <scheme val="minor"/>
      </rPr>
      <t xml:space="preserve"> stress levels  </t>
    </r>
    <r>
      <rPr>
        <sz val="12"/>
        <color theme="1"/>
        <rFont val="Calibri"/>
        <family val="2"/>
      </rPr>
      <t>»</t>
    </r>
    <r>
      <rPr>
        <sz val="12"/>
        <color theme="1"/>
        <rFont val="Calibri"/>
        <family val="2"/>
        <scheme val="minor"/>
      </rPr>
      <t xml:space="preserve">  mental health </t>
    </r>
  </si>
  <si>
    <t>Number of delivery vehicless  » manufacture CO₂ output</t>
  </si>
  <si>
    <t>% dedicated trips (ie non-tripchain)</t>
  </si>
  <si>
    <t>PUDO trips</t>
  </si>
  <si>
    <t>Retail trips</t>
  </si>
  <si>
    <r>
      <t>CO</t>
    </r>
    <r>
      <rPr>
        <i/>
        <sz val="11"/>
        <color theme="4"/>
        <rFont val="Calibri"/>
        <family val="2"/>
      </rPr>
      <t>₂</t>
    </r>
    <r>
      <rPr>
        <i/>
        <sz val="11"/>
        <color theme="4"/>
        <rFont val="Calibri"/>
        <family val="2"/>
        <scheme val="minor"/>
      </rPr>
      <t xml:space="preserve">  values</t>
    </r>
  </si>
  <si>
    <t>Trips by type of area</t>
  </si>
  <si>
    <t>avge meters to nearest location</t>
  </si>
  <si>
    <t>fewer delivery vehicles</t>
  </si>
  <si>
    <t xml:space="preserve">                  fewer delivery vehicles</t>
  </si>
  <si>
    <t>grows at x% (estimated market rate)</t>
  </si>
  <si>
    <t>****</t>
  </si>
  <si>
    <t>Transit        Days in transit</t>
  </si>
  <si>
    <t>Window DOPN=24/7/365</t>
  </si>
  <si>
    <t>PUDO (current)</t>
  </si>
  <si>
    <t>PUDO          (with DOPN)</t>
  </si>
  <si>
    <t>PUDO       Time Saved</t>
  </si>
  <si>
    <t>© Copyright YorBox 2021</t>
  </si>
  <si>
    <t>Walk + Wait</t>
  </si>
  <si>
    <t>Pre-departure/Load</t>
  </si>
  <si>
    <t xml:space="preserve"> % sq km</t>
  </si>
  <si>
    <t>DOPN Value at multiple of XX EBIT</t>
  </si>
  <si>
    <t xml:space="preserve"> avge PUDO time [minutes]with DOPN (wt by usage/pop)</t>
  </si>
  <si>
    <t>DENSE OPEN PUDO NETWORK</t>
  </si>
  <si>
    <t>Value Chain Model for a</t>
  </si>
  <si>
    <t>MrJohnBrown@hotmail.com</t>
  </si>
  <si>
    <t>Locker rent+utils+mtce. (@ £x / locker location/year)</t>
  </si>
  <si>
    <t>Residential parcel services impacted by DOPN</t>
  </si>
  <si>
    <t>UK 2019 est. 17% overall C&amp;C (12% store collections incl. in Business and 5% PUDO shop/locker in Residential)</t>
  </si>
  <si>
    <t>PUDO shop locations</t>
  </si>
  <si>
    <t>PUDO Locker locations</t>
  </si>
  <si>
    <t>Locations</t>
  </si>
  <si>
    <t xml:space="preserve">b Revenue </t>
  </si>
  <si>
    <t xml:space="preserve">b Parcels </t>
  </si>
  <si>
    <t>m Locker Capex</t>
  </si>
  <si>
    <t>Value added :</t>
  </si>
  <si>
    <t>DOPN</t>
  </si>
  <si>
    <t>LCARRs</t>
  </si>
  <si>
    <t>Frequency of repeat purchases</t>
  </si>
  <si>
    <t>Lifetime customer value</t>
  </si>
  <si>
    <t xml:space="preserve">… drives etail revenue growth rate </t>
  </si>
  <si>
    <t>Parcel revenue</t>
  </si>
  <si>
    <t>Other revenue (advertising etc.)</t>
  </si>
  <si>
    <t>Total revenue</t>
  </si>
  <si>
    <t>Total Revenue</t>
  </si>
  <si>
    <t>TOTAL CO₂  difference with DOPN network</t>
  </si>
  <si>
    <r>
      <t>Total CO</t>
    </r>
    <r>
      <rPr>
        <i/>
        <sz val="11"/>
        <color theme="0"/>
        <rFont val="Calibri"/>
        <family val="2"/>
      </rPr>
      <t>₂</t>
    </r>
    <r>
      <rPr>
        <i/>
        <sz val="11"/>
        <color theme="0"/>
        <rFont val="Calibri"/>
        <family val="2"/>
        <scheme val="minor"/>
      </rPr>
      <t xml:space="preserve"> t/yr</t>
    </r>
  </si>
  <si>
    <t>PUDO shop payments (@£x per PUDO parcel)</t>
  </si>
  <si>
    <t>kms/hr</t>
  </si>
  <si>
    <t>Less fulfilment cost reduction passed on to consumers</t>
  </si>
  <si>
    <t>EBIT contribution</t>
  </si>
  <si>
    <t>Delivery cost/parcel (Year 10 @x% inflation)</t>
  </si>
  <si>
    <t>Other operating cost/parcel (Year 10 @x% inflation)</t>
  </si>
  <si>
    <t>Rate</t>
  </si>
  <si>
    <t>Select (@x mins/parcel)</t>
  </si>
  <si>
    <t>Deliver (@x mins/parcel)</t>
  </si>
  <si>
    <t>Kms/stop</t>
  </si>
  <si>
    <t>Park</t>
  </si>
  <si>
    <t>Time (minutes) per delivery stop  Drive (@x kms/hr)</t>
  </si>
  <si>
    <t>DOPN market penetration in DOPN-covered areas</t>
  </si>
  <si>
    <t>% of all users [market share] uptake</t>
  </si>
  <si>
    <t>% market share of participating carriers</t>
  </si>
  <si>
    <t>Plus % market share of participating PUDO networks</t>
  </si>
  <si>
    <t xml:space="preserve">    x % of participating etailers from those carriers</t>
  </si>
  <si>
    <t xml:space="preserve">    x % of participating consumers from those etailers</t>
  </si>
  <si>
    <t>London inner 1</t>
  </si>
  <si>
    <t>London inner 2</t>
  </si>
  <si>
    <t>London outer</t>
  </si>
  <si>
    <t>Locker import + install (@ £x / locker location)</t>
  </si>
  <si>
    <t>UK</t>
  </si>
  <si>
    <t>A Dense Open PUDO Network (DOPN) will provide a base for demand growth in additional services besides collections :</t>
  </si>
  <si>
    <t xml:space="preserve">          Collect Parcels #bn</t>
  </si>
  <si>
    <t xml:space="preserve">          Returns #bn (@ x% of collect parcels)</t>
  </si>
  <si>
    <t xml:space="preserve">          Missed deliveries #bn (@ missed x% change of home parcels)</t>
  </si>
  <si>
    <t xml:space="preserve">          Ship from #bn (@ x% of total parcels)</t>
  </si>
  <si>
    <t xml:space="preserve">          Same day/local deliveries #bn (@ x% of residential parcels)</t>
  </si>
  <si>
    <t>cost as % revenue</t>
  </si>
  <si>
    <t>Population % represented</t>
  </si>
  <si>
    <t>Sq kms % represented</t>
  </si>
  <si>
    <t>DOPN time calculation by area type</t>
  </si>
  <si>
    <t>DOPN time</t>
  </si>
  <si>
    <t xml:space="preserve">Max parcels receivable / year per location </t>
  </si>
  <si>
    <t>Plus fulfilment cost savings from carriers</t>
  </si>
  <si>
    <t>year 10 with DOPN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</si>
</sst>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00"/>
    <numFmt numFmtId="166" formatCode="#,##0;\(#,##0\);&quot;-&quot;"/>
    <numFmt numFmtId="167" formatCode="_(* #,##0_);_(* \(#,##0\);_(* &quot;-&quot;_);_(@_)"/>
    <numFmt numFmtId="168" formatCode="_(* #,##0.0_);_(* \(#,##0.0\);_(* &quot; - &quot;_);_(@_)"/>
    <numFmt numFmtId="169" formatCode="\ #,##0.0_);\(#,##0.0\);&quot; - &quot;_);@_)"/>
    <numFmt numFmtId="170" formatCode="d\ mmmm\ yyyy"/>
    <numFmt numFmtId="171" formatCode="dd\ mmmm\ yyyy"/>
    <numFmt numFmtId="172" formatCode="#,##0;[Red]\(#,##0\);0"/>
    <numFmt numFmtId="173" formatCode="0.0%"/>
    <numFmt numFmtId="174" formatCode="_-* #,##0_-;\-* #,##0_-;_-* &quot;-&quot;??_-;_-@_-"/>
    <numFmt numFmtId="175" formatCode="[$$-409]#,##0.00"/>
    <numFmt numFmtId="176" formatCode="[$$-409]#,##0.0"/>
    <numFmt numFmtId="177" formatCode="\ #,##0.00_);\(#,##0.00\);&quot; - &quot;_);@_)"/>
    <numFmt numFmtId="178" formatCode="_-* #,##0.0_-;\-* #,##0.0_-;_-* &quot;-&quot;??_-;_-@_-"/>
    <numFmt numFmtId="179" formatCode="#,##0.00_ ;\-#,##0.00\ "/>
    <numFmt numFmtId="180" formatCode="_-* #,##0.000_-;\-* #,##0.000_-;_-* &quot;-&quot;??_-;_-@_-"/>
    <numFmt numFmtId="181" formatCode="&quot;£&quot;#,##0.0"/>
    <numFmt numFmtId="182" formatCode="&quot;£&quot;#,##0.00"/>
    <numFmt numFmtId="183" formatCode="0.0000"/>
    <numFmt numFmtId="184" formatCode="_-[$£-809]* #,##0.00_-;\-[$£-809]* #,##0.00_-;_-[$£-809]* &quot;-&quot;??_-;_-@_-"/>
    <numFmt numFmtId="185" formatCode="_(&quot;$&quot;* #,##0.00_);_(&quot;$&quot;* \(#,##0.00\);_(&quot;$&quot;* &quot;-&quot;??_);_(@_)"/>
    <numFmt numFmtId="186" formatCode="_(* #,##0.0_);_(* \(#,##0.0\);_(* &quot;-&quot;??_);_(@_)"/>
    <numFmt numFmtId="187" formatCode="&quot;£&quot;#,##0"/>
    <numFmt numFmtId="188" formatCode="#,##0.0"/>
    <numFmt numFmtId="189" formatCode="_(* #,##0.00_);_(* \(#,##0.00\);_(* &quot;-&quot;??_);_(@_)"/>
    <numFmt numFmtId="190" formatCode="_(* #,##0_);_(* \(#,##0\);_(* &quot;-&quot;??_);_(@_)"/>
    <numFmt numFmtId="191" formatCode="_-* #,##0_-;\-* #,##0_-;_-* &quot;-&quot;?_-;_-@_-"/>
    <numFmt numFmtId="192" formatCode="_-&quot;£&quot;* #,##0_-;\-&quot;£&quot;* #,##0_-;_-&quot;£&quot;* &quot;-&quot;??_-;_-@_-"/>
  </numFmts>
  <fonts count="1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25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9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b/>
      <sz val="14"/>
      <color theme="4"/>
      <name val="Arial"/>
      <family val="2"/>
    </font>
    <font>
      <sz val="14"/>
      <name val="Arial"/>
      <family val="2"/>
    </font>
    <font>
      <u val="doubleAccounting"/>
      <sz val="9"/>
      <name val="Times New Roman"/>
      <family val="1"/>
    </font>
    <font>
      <u val="singleAccounting"/>
      <sz val="9"/>
      <name val="Times New Roman"/>
      <family val="1"/>
    </font>
    <font>
      <b/>
      <sz val="12"/>
      <color indexed="55"/>
      <name val="Arial"/>
      <family val="2"/>
    </font>
    <font>
      <b/>
      <sz val="12"/>
      <color theme="4"/>
      <name val="Arial"/>
      <family val="2"/>
    </font>
    <font>
      <b/>
      <sz val="14"/>
      <color indexed="25"/>
      <name val="Arial"/>
      <family val="2"/>
    </font>
    <font>
      <sz val="9"/>
      <color theme="4"/>
      <name val="Times New Roman"/>
      <family val="1"/>
    </font>
    <font>
      <sz val="11"/>
      <color theme="4"/>
      <name val="Calibri"/>
      <family val="2"/>
      <scheme val="minor"/>
    </font>
    <font>
      <sz val="10"/>
      <color rgb="FF000000"/>
      <name val="Arial Narrow"/>
      <family val="2"/>
    </font>
    <font>
      <sz val="10"/>
      <color indexed="8"/>
      <name val="Arial Narrow"/>
      <family val="2"/>
    </font>
    <font>
      <i/>
      <sz val="10"/>
      <color indexed="25"/>
      <name val="Arial Narrow"/>
      <family val="2"/>
    </font>
    <font>
      <i/>
      <sz val="10"/>
      <color theme="4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8"/>
      <color indexed="25"/>
      <name val="Arial Narrow"/>
      <family val="2"/>
    </font>
    <font>
      <sz val="8"/>
      <color theme="4"/>
      <name val="Arial Narrow"/>
      <family val="2"/>
    </font>
    <font>
      <sz val="11"/>
      <color rgb="FF3F3F7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4"/>
      <name val="Arial Narrow"/>
      <family val="2"/>
    </font>
    <font>
      <i/>
      <sz val="11"/>
      <color theme="4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1"/>
      <name val="Arial Narrow"/>
      <family val="2"/>
    </font>
    <font>
      <b/>
      <sz val="1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4"/>
      <name val="Arial Narrow"/>
      <family val="2"/>
    </font>
    <font>
      <b/>
      <sz val="10"/>
      <color rgb="FFC00000"/>
      <name val="Arial Narrow"/>
      <family val="2"/>
    </font>
    <font>
      <b/>
      <sz val="11"/>
      <color rgb="FFC00000"/>
      <name val="Arial Narrow"/>
      <family val="2"/>
    </font>
    <font>
      <sz val="11"/>
      <color rgb="FFC00000"/>
      <name val="Arial Narrow"/>
      <family val="2"/>
    </font>
    <font>
      <b/>
      <sz val="14"/>
      <color rgb="FFC00000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</font>
    <font>
      <b/>
      <sz val="14"/>
      <color rgb="FFC00000"/>
      <name val="Calibri"/>
      <family val="2"/>
    </font>
    <font>
      <sz val="11"/>
      <color rgb="FFC00000"/>
      <name val="Calibri"/>
      <family val="2"/>
    </font>
    <font>
      <sz val="16"/>
      <name val="Arial"/>
      <family val="2"/>
    </font>
    <font>
      <b/>
      <sz val="24"/>
      <color theme="3" tint="-0.249977111117893"/>
      <name val="Arial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4"/>
      <name val="Arial Narrow"/>
      <family val="2"/>
    </font>
    <font>
      <b/>
      <i/>
      <sz val="11"/>
      <color theme="4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sz val="10"/>
      <color theme="1"/>
      <name val="Open Sans"/>
      <family val="2"/>
    </font>
    <font>
      <sz val="10"/>
      <color rgb="FF3333FF"/>
      <name val="Open Sans"/>
      <family val="2"/>
    </font>
    <font>
      <b/>
      <sz val="10"/>
      <color theme="1"/>
      <name val="Open Sans"/>
      <family val="2"/>
    </font>
    <font>
      <b/>
      <sz val="14"/>
      <color theme="3"/>
      <name val="Calibri"/>
      <family val="2"/>
    </font>
    <font>
      <sz val="11"/>
      <color theme="3"/>
      <name val="Calibri"/>
      <family val="2"/>
    </font>
    <font>
      <sz val="10"/>
      <color rgb="FF000000"/>
      <name val="Arial"/>
      <family val="2"/>
    </font>
    <font>
      <b/>
      <sz val="11"/>
      <color rgb="FF3F3F76"/>
      <name val="Calibri"/>
      <family val="2"/>
      <scheme val="minor"/>
    </font>
    <font>
      <sz val="10"/>
      <color rgb="FF0000FF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MS Sans Serif"/>
      <family val="2"/>
    </font>
    <font>
      <b/>
      <sz val="8"/>
      <color theme="1"/>
      <name val="Arial"/>
      <family val="2"/>
    </font>
    <font>
      <b/>
      <sz val="8"/>
      <name val="MS Sans Serif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4"/>
      <color theme="4"/>
      <name val="Arial"/>
      <family val="2"/>
    </font>
    <font>
      <sz val="16"/>
      <color theme="3"/>
      <name val="Calibri"/>
      <family val="2"/>
    </font>
    <font>
      <b/>
      <sz val="16"/>
      <color theme="3"/>
      <name val="Calibri"/>
      <family val="2"/>
    </font>
    <font>
      <sz val="11"/>
      <color theme="3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3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Arial"/>
      <family val="2"/>
    </font>
    <font>
      <b/>
      <sz val="10.5"/>
      <color rgb="FF599E3F"/>
      <name val="Times New Roman"/>
      <family val="1"/>
    </font>
    <font>
      <b/>
      <vertAlign val="subscript"/>
      <sz val="8"/>
      <color rgb="FF599E3F"/>
      <name val="Times New Roman"/>
      <family val="1"/>
    </font>
    <font>
      <sz val="8"/>
      <color rgb="FF000000"/>
      <name val="Arial"/>
      <family val="2"/>
    </font>
    <font>
      <sz val="7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name val="Arial Narrow"/>
      <family val="2"/>
    </font>
    <font>
      <b/>
      <sz val="1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4"/>
      <color rgb="FFC00000"/>
      <name val="Arial Narrow"/>
      <family val="2"/>
    </font>
    <font>
      <sz val="10"/>
      <color rgb="FFC00000"/>
      <name val="Arial Narrow"/>
      <family val="2"/>
    </font>
    <font>
      <sz val="11"/>
      <color rgb="FFFF0000"/>
      <name val="Calibri"/>
      <family val="2"/>
    </font>
    <font>
      <b/>
      <sz val="14"/>
      <color theme="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i/>
      <sz val="11"/>
      <color theme="0"/>
      <name val="Calibri"/>
      <family val="2"/>
      <scheme val="minor"/>
    </font>
    <font>
      <i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i/>
      <sz val="14"/>
      <color theme="0"/>
      <name val="Arial Narrow"/>
      <family val="2"/>
    </font>
    <font>
      <i/>
      <sz val="11"/>
      <color theme="0"/>
      <name val="Calibri"/>
      <family val="2"/>
    </font>
    <font>
      <i/>
      <sz val="10"/>
      <name val="Arial Narrow"/>
      <family val="2"/>
    </font>
    <font>
      <sz val="8"/>
      <name val="Calibri"/>
      <family val="2"/>
      <scheme val="minor"/>
    </font>
    <font>
      <i/>
      <sz val="11"/>
      <color theme="4"/>
      <name val="Calibri"/>
      <family val="2"/>
    </font>
    <font>
      <b/>
      <sz val="10"/>
      <color theme="4"/>
      <name val="Arial Narrow"/>
      <family val="2"/>
    </font>
    <font>
      <sz val="12"/>
      <color theme="3"/>
      <name val="Calibri"/>
      <family val="2"/>
    </font>
    <font>
      <sz val="12"/>
      <color theme="3"/>
      <name val="Calibri"/>
      <family val="2"/>
      <scheme val="minor"/>
    </font>
    <font>
      <b/>
      <sz val="12"/>
      <color theme="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horizontal="left"/>
    </xf>
    <xf numFmtId="0" fontId="3" fillId="0" borderId="0"/>
    <xf numFmtId="166" fontId="6" fillId="0" borderId="0"/>
    <xf numFmtId="0" fontId="3" fillId="0" borderId="0" applyFill="0" applyBorder="0">
      <alignment horizontal="left" vertical="top" wrapText="1"/>
    </xf>
    <xf numFmtId="167" fontId="3" fillId="0" borderId="1" applyFill="0" applyBorder="0" applyProtection="0">
      <alignment horizontal="right" vertical="top"/>
    </xf>
    <xf numFmtId="169" fontId="3" fillId="0" borderId="0" applyFill="0" applyBorder="0">
      <alignment horizontal="right" vertical="top"/>
    </xf>
    <xf numFmtId="0" fontId="13" fillId="0" borderId="0">
      <alignment vertical="center"/>
    </xf>
    <xf numFmtId="0" fontId="15" fillId="0" borderId="0">
      <alignment vertical="center"/>
    </xf>
    <xf numFmtId="170" fontId="15" fillId="0" borderId="0">
      <alignment horizontal="left" vertical="center"/>
    </xf>
    <xf numFmtId="170" fontId="5" fillId="0" borderId="0">
      <alignment horizontal="left" vertical="center"/>
    </xf>
    <xf numFmtId="172" fontId="18" fillId="0" borderId="0">
      <alignment vertical="center"/>
    </xf>
    <xf numFmtId="166" fontId="20" fillId="0" borderId="0"/>
    <xf numFmtId="0" fontId="2" fillId="0" borderId="1">
      <alignment horizontal="right" wrapText="1"/>
    </xf>
    <xf numFmtId="0" fontId="23" fillId="0" borderId="0" applyNumberFormat="0" applyFill="0" applyBorder="0" applyAlignment="0" applyProtection="0">
      <alignment vertical="top"/>
      <protection locked="0"/>
    </xf>
    <xf numFmtId="166" fontId="25" fillId="0" borderId="1">
      <alignment horizontal="left"/>
    </xf>
    <xf numFmtId="166" fontId="5" fillId="0" borderId="0"/>
    <xf numFmtId="166" fontId="27" fillId="0" borderId="0"/>
    <xf numFmtId="49" fontId="3" fillId="0" borderId="0" applyNumberFormat="0" applyFill="0" applyBorder="0" applyProtection="0">
      <alignment horizontal="center" vertical="top"/>
    </xf>
    <xf numFmtId="166" fontId="30" fillId="0" borderId="0">
      <alignment horizontal="left" vertical="top"/>
    </xf>
    <xf numFmtId="0" fontId="32" fillId="2" borderId="2" applyNumberFormat="0" applyAlignment="0" applyProtection="0"/>
    <xf numFmtId="43" fontId="1" fillId="0" borderId="0" applyFont="0" applyFill="0" applyBorder="0" applyAlignment="0" applyProtection="0"/>
    <xf numFmtId="0" fontId="27" fillId="0" borderId="0"/>
    <xf numFmtId="0" fontId="63" fillId="0" borderId="0"/>
    <xf numFmtId="185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1" fillId="0" borderId="0"/>
    <xf numFmtId="189" fontId="63" fillId="0" borderId="0" applyFont="0" applyFill="0" applyBorder="0" applyAlignment="0" applyProtection="0"/>
    <xf numFmtId="185" fontId="71" fillId="0" borderId="0" applyFont="0" applyFill="0" applyBorder="0" applyAlignment="0" applyProtection="0"/>
  </cellStyleXfs>
  <cellXfs count="972">
    <xf numFmtId="0" fontId="0" fillId="0" borderId="0" xfId="0"/>
    <xf numFmtId="0" fontId="3" fillId="0" borderId="0" xfId="16" applyNumberFormat="1" applyFont="1" applyAlignment="1" applyProtection="1"/>
    <xf numFmtId="169" fontId="3" fillId="0" borderId="0" xfId="8" applyBorder="1" applyProtection="1">
      <alignment horizontal="right" vertical="top"/>
      <protection locked="0"/>
    </xf>
    <xf numFmtId="9" fontId="32" fillId="0" borderId="3" xfId="2" applyFont="1" applyFill="1" applyBorder="1" applyProtection="1"/>
    <xf numFmtId="9" fontId="0" fillId="0" borderId="49" xfId="2" applyFont="1" applyBorder="1" applyProtection="1"/>
    <xf numFmtId="172" fontId="124" fillId="0" borderId="0" xfId="16" applyNumberFormat="1" applyFont="1" applyBorder="1" applyAlignment="1" applyProtection="1">
      <alignment vertical="center"/>
    </xf>
    <xf numFmtId="0" fontId="0" fillId="0" borderId="3" xfId="0" applyFill="1" applyBorder="1" applyAlignment="1" applyProtection="1">
      <alignment horizontal="right"/>
    </xf>
    <xf numFmtId="9" fontId="0" fillId="3" borderId="3" xfId="2" applyFont="1" applyFill="1" applyBorder="1" applyProtection="1">
      <protection locked="0"/>
    </xf>
    <xf numFmtId="0" fontId="27" fillId="3" borderId="3" xfId="24" applyFill="1" applyBorder="1" applyAlignment="1" applyProtection="1">
      <alignment horizontal="center"/>
      <protection locked="0"/>
    </xf>
    <xf numFmtId="0" fontId="27" fillId="3" borderId="3" xfId="24" applyFill="1" applyBorder="1" applyAlignment="1" applyProtection="1">
      <alignment horizontal="center" wrapText="1"/>
      <protection locked="0"/>
    </xf>
    <xf numFmtId="187" fontId="0" fillId="3" borderId="3" xfId="23" applyNumberFormat="1" applyFont="1" applyFill="1" applyBorder="1" applyProtection="1">
      <protection locked="0"/>
    </xf>
    <xf numFmtId="182" fontId="0" fillId="3" borderId="3" xfId="23" applyNumberFormat="1" applyFont="1" applyFill="1" applyBorder="1" applyProtection="1">
      <protection locked="0"/>
    </xf>
    <xf numFmtId="9" fontId="1" fillId="3" borderId="3" xfId="2" applyFont="1" applyFill="1" applyBorder="1" applyProtection="1">
      <protection locked="0"/>
    </xf>
    <xf numFmtId="3" fontId="0" fillId="3" borderId="3" xfId="23" applyNumberFormat="1" applyFont="1" applyFill="1" applyBorder="1" applyProtection="1">
      <protection locked="0"/>
    </xf>
    <xf numFmtId="3" fontId="0" fillId="3" borderId="3" xfId="23" applyNumberFormat="1" applyFont="1" applyFill="1" applyBorder="1" applyAlignment="1" applyProtection="1">
      <protection locked="0"/>
    </xf>
    <xf numFmtId="169" fontId="48" fillId="3" borderId="3" xfId="8" quotePrefix="1" applyFont="1" applyFill="1" applyBorder="1" applyProtection="1">
      <alignment horizontal="right" vertical="top"/>
      <protection locked="0"/>
    </xf>
    <xf numFmtId="181" fontId="69" fillId="0" borderId="0" xfId="0" applyNumberFormat="1" applyFont="1" applyFill="1" applyBorder="1" applyAlignment="1" applyProtection="1">
      <alignment horizontal="center"/>
    </xf>
    <xf numFmtId="174" fontId="69" fillId="0" borderId="0" xfId="23" applyNumberFormat="1" applyFont="1" applyFill="1" applyBorder="1" applyAlignment="1" applyProtection="1">
      <alignment horizontal="left" vertical="center"/>
    </xf>
    <xf numFmtId="181" fontId="86" fillId="0" borderId="0" xfId="0" applyNumberFormat="1" applyFont="1" applyFill="1" applyBorder="1" applyAlignment="1" applyProtection="1">
      <alignment horizontal="center"/>
    </xf>
    <xf numFmtId="166" fontId="93" fillId="0" borderId="0" xfId="14" applyFont="1" applyProtection="1">
      <protection locked="0"/>
    </xf>
    <xf numFmtId="166" fontId="14" fillId="0" borderId="3" xfId="14" applyFont="1" applyBorder="1" applyProtection="1">
      <protection locked="0"/>
    </xf>
    <xf numFmtId="0" fontId="0" fillId="0" borderId="8" xfId="0" quotePrefix="1" applyBorder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6" fontId="115" fillId="8" borderId="3" xfId="17" applyFont="1" applyFill="1" applyBorder="1" applyAlignment="1" applyProtection="1">
      <alignment horizontal="left" wrapText="1"/>
      <protection locked="0"/>
    </xf>
    <xf numFmtId="166" fontId="114" fillId="8" borderId="3" xfId="17" applyFont="1" applyFill="1" applyBorder="1" applyAlignment="1" applyProtection="1">
      <alignment horizontal="left" wrapText="1"/>
      <protection locked="0"/>
    </xf>
    <xf numFmtId="0" fontId="22" fillId="0" borderId="0" xfId="0" applyFont="1" applyProtection="1">
      <protection locked="0"/>
    </xf>
    <xf numFmtId="166" fontId="36" fillId="0" borderId="3" xfId="17" applyFont="1" applyBorder="1" applyAlignment="1" applyProtection="1">
      <alignment horizontal="left" wrapText="1"/>
      <protection locked="0"/>
    </xf>
    <xf numFmtId="1" fontId="26" fillId="0" borderId="3" xfId="17" applyNumberFormat="1" applyFont="1" applyBorder="1" applyAlignment="1" applyProtection="1">
      <alignment horizontal="left" wrapText="1"/>
      <protection locked="0"/>
    </xf>
    <xf numFmtId="166" fontId="26" fillId="0" borderId="3" xfId="17" applyFont="1" applyBorder="1" applyAlignment="1" applyProtection="1">
      <alignment horizontal="left" wrapText="1"/>
      <protection locked="0"/>
    </xf>
    <xf numFmtId="0" fontId="0" fillId="0" borderId="3" xfId="0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0" xfId="0" applyBorder="1" applyProtection="1">
      <protection locked="0"/>
    </xf>
    <xf numFmtId="9" fontId="0" fillId="0" borderId="3" xfId="2" applyFont="1" applyFill="1" applyBorder="1" applyProtection="1">
      <protection locked="0"/>
    </xf>
    <xf numFmtId="9" fontId="0" fillId="0" borderId="3" xfId="2" applyFont="1" applyBorder="1" applyProtection="1">
      <protection locked="0"/>
    </xf>
    <xf numFmtId="0" fontId="28" fillId="0" borderId="0" xfId="0" applyFont="1" applyProtection="1">
      <protection locked="0"/>
    </xf>
    <xf numFmtId="9" fontId="35" fillId="0" borderId="3" xfId="2" quotePrefix="1" applyFont="1" applyFill="1" applyBorder="1" applyAlignment="1" applyProtection="1">
      <alignment horizontal="right" vertical="top"/>
      <protection locked="0"/>
    </xf>
    <xf numFmtId="9" fontId="35" fillId="3" borderId="3" xfId="2" quotePrefix="1" applyFont="1" applyFill="1" applyBorder="1" applyAlignment="1" applyProtection="1">
      <alignment horizontal="right" vertical="top"/>
      <protection locked="0"/>
    </xf>
    <xf numFmtId="0" fontId="3" fillId="0" borderId="0" xfId="0" applyFont="1" applyProtection="1">
      <protection locked="0"/>
    </xf>
    <xf numFmtId="1" fontId="0" fillId="0" borderId="0" xfId="0" applyNumberFormat="1" applyAlignment="1" applyProtection="1">
      <protection locked="0"/>
    </xf>
    <xf numFmtId="0" fontId="29" fillId="0" borderId="0" xfId="0" applyFont="1" applyProtection="1">
      <protection locked="0"/>
    </xf>
    <xf numFmtId="166" fontId="31" fillId="0" borderId="0" xfId="21" applyFont="1" applyProtection="1">
      <alignment horizontal="left" vertical="top"/>
      <protection locked="0"/>
    </xf>
    <xf numFmtId="0" fontId="0" fillId="0" borderId="3" xfId="0" applyFont="1" applyBorder="1" applyProtection="1"/>
    <xf numFmtId="0" fontId="0" fillId="0" borderId="3" xfId="0" applyBorder="1" applyProtection="1"/>
    <xf numFmtId="2" fontId="0" fillId="0" borderId="3" xfId="0" applyNumberFormat="1" applyFont="1" applyBorder="1" applyProtection="1"/>
    <xf numFmtId="4" fontId="35" fillId="0" borderId="3" xfId="8" quotePrefix="1" applyNumberFormat="1" applyFont="1" applyFill="1" applyBorder="1" applyProtection="1">
      <alignment horizontal="right" vertical="top"/>
    </xf>
    <xf numFmtId="0" fontId="0" fillId="0" borderId="0" xfId="0" applyBorder="1" applyProtection="1"/>
    <xf numFmtId="9" fontId="0" fillId="0" borderId="3" xfId="2" applyFont="1" applyBorder="1" applyProtection="1"/>
    <xf numFmtId="9" fontId="0" fillId="4" borderId="3" xfId="2" applyFont="1" applyFill="1" applyBorder="1" applyProtection="1"/>
    <xf numFmtId="164" fontId="0" fillId="0" borderId="3" xfId="0" applyNumberFormat="1" applyFont="1" applyBorder="1" applyProtection="1"/>
    <xf numFmtId="164" fontId="0" fillId="0" borderId="3" xfId="0" applyNumberFormat="1" applyBorder="1" applyProtection="1"/>
    <xf numFmtId="177" fontId="35" fillId="0" borderId="3" xfId="8" quotePrefix="1" applyNumberFormat="1" applyFont="1" applyFill="1" applyBorder="1" applyProtection="1">
      <alignment horizontal="right" vertical="top"/>
    </xf>
    <xf numFmtId="0" fontId="2" fillId="0" borderId="0" xfId="3" applyProtection="1">
      <alignment horizontal="left"/>
      <protection locked="0"/>
    </xf>
    <xf numFmtId="166" fontId="4" fillId="0" borderId="0" xfId="4" applyNumberFormat="1" applyFont="1" applyAlignment="1" applyProtection="1">
      <alignment vertical="top"/>
      <protection locked="0"/>
    </xf>
    <xf numFmtId="166" fontId="5" fillId="0" borderId="0" xfId="4" applyNumberFormat="1" applyFont="1" applyAlignment="1" applyProtection="1">
      <alignment horizontal="right" vertical="top"/>
      <protection locked="0"/>
    </xf>
    <xf numFmtId="166" fontId="6" fillId="0" borderId="0" xfId="5" applyFont="1" applyBorder="1" applyProtection="1">
      <protection locked="0"/>
    </xf>
    <xf numFmtId="166" fontId="4" fillId="0" borderId="0" xfId="4" applyNumberFormat="1" applyFont="1" applyBorder="1" applyAlignment="1" applyProtection="1">
      <protection locked="0"/>
    </xf>
    <xf numFmtId="166" fontId="4" fillId="0" borderId="0" xfId="4" applyNumberFormat="1" applyFont="1" applyBorder="1" applyAlignment="1" applyProtection="1">
      <alignment vertical="top"/>
      <protection locked="0"/>
    </xf>
    <xf numFmtId="166" fontId="7" fillId="0" borderId="0" xfId="4" applyNumberFormat="1" applyFont="1" applyBorder="1" applyAlignment="1" applyProtection="1">
      <alignment horizontal="right"/>
      <protection locked="0"/>
    </xf>
    <xf numFmtId="166" fontId="8" fillId="0" borderId="0" xfId="6" applyNumberFormat="1" applyFont="1" applyBorder="1" applyProtection="1">
      <alignment horizontal="left" vertical="top" wrapText="1"/>
      <protection locked="0"/>
    </xf>
    <xf numFmtId="166" fontId="4" fillId="0" borderId="0" xfId="6" applyNumberFormat="1" applyFont="1" applyBorder="1" applyProtection="1">
      <alignment horizontal="left" vertical="top" wrapText="1"/>
      <protection locked="0"/>
    </xf>
    <xf numFmtId="168" fontId="3" fillId="0" borderId="0" xfId="7" applyNumberFormat="1" applyBorder="1" applyProtection="1">
      <alignment horizontal="right" vertical="top"/>
      <protection locked="0"/>
    </xf>
    <xf numFmtId="167" fontId="3" fillId="0" borderId="0" xfId="7" applyBorder="1" applyProtection="1">
      <alignment horizontal="right" vertical="top"/>
      <protection locked="0"/>
    </xf>
    <xf numFmtId="166" fontId="4" fillId="0" borderId="0" xfId="6" applyNumberFormat="1" applyFont="1" applyBorder="1" applyAlignment="1" applyProtection="1">
      <alignment horizontal="left"/>
      <protection locked="0"/>
    </xf>
    <xf numFmtId="168" fontId="3" fillId="0" borderId="0" xfId="7" applyNumberFormat="1" applyBorder="1" applyAlignment="1" applyProtection="1">
      <alignment horizontal="right"/>
      <protection locked="0"/>
    </xf>
    <xf numFmtId="167" fontId="3" fillId="0" borderId="0" xfId="7" applyBorder="1" applyAlignment="1" applyProtection="1">
      <alignment horizontal="right"/>
      <protection locked="0"/>
    </xf>
    <xf numFmtId="166" fontId="4" fillId="0" borderId="0" xfId="6" applyNumberFormat="1" applyFont="1" applyBorder="1" applyAlignment="1" applyProtection="1">
      <alignment vertical="top" wrapText="1"/>
      <protection locked="0"/>
    </xf>
    <xf numFmtId="166" fontId="4" fillId="0" borderId="0" xfId="6" applyNumberFormat="1" applyFont="1" applyBorder="1" applyAlignment="1" applyProtection="1">
      <alignment horizontal="center" vertical="top"/>
      <protection locked="0"/>
    </xf>
    <xf numFmtId="44" fontId="4" fillId="0" borderId="0" xfId="1" applyFont="1" applyBorder="1" applyAlignment="1" applyProtection="1">
      <alignment horizontal="left" vertical="top"/>
      <protection locked="0"/>
    </xf>
    <xf numFmtId="0" fontId="3" fillId="0" borderId="0" xfId="6" applyBorder="1" applyProtection="1">
      <alignment horizontal="left" vertical="top" wrapText="1"/>
      <protection locked="0"/>
    </xf>
    <xf numFmtId="0" fontId="3" fillId="0" borderId="0" xfId="6" applyBorder="1" applyAlignment="1" applyProtection="1">
      <alignment horizontal="left" vertical="top" wrapText="1"/>
      <protection locked="0"/>
    </xf>
    <xf numFmtId="0" fontId="9" fillId="0" borderId="0" xfId="4" applyFont="1" applyBorder="1" applyProtection="1">
      <protection locked="0"/>
    </xf>
    <xf numFmtId="0" fontId="10" fillId="0" borderId="0" xfId="4" applyFont="1" applyBorder="1" applyProtection="1">
      <protection locked="0"/>
    </xf>
    <xf numFmtId="0" fontId="11" fillId="0" borderId="0" xfId="4" applyFont="1" applyBorder="1" applyProtection="1">
      <protection locked="0"/>
    </xf>
    <xf numFmtId="170" fontId="12" fillId="0" borderId="0" xfId="4" applyNumberFormat="1" applyFont="1" applyBorder="1" applyAlignment="1" applyProtection="1">
      <alignment horizontal="left"/>
      <protection locked="0"/>
    </xf>
    <xf numFmtId="0" fontId="3" fillId="0" borderId="0" xfId="6" applyBorder="1" applyAlignment="1" applyProtection="1">
      <alignment horizontal="center" vertical="top"/>
      <protection locked="0"/>
    </xf>
    <xf numFmtId="169" fontId="16" fillId="0" borderId="0" xfId="8" applyFont="1" applyBorder="1" applyProtection="1">
      <alignment horizontal="right" vertical="top"/>
      <protection locked="0"/>
    </xf>
    <xf numFmtId="0" fontId="4" fillId="0" borderId="0" xfId="6" applyFont="1" applyBorder="1" applyProtection="1">
      <alignment horizontal="left" vertical="top" wrapText="1"/>
      <protection locked="0"/>
    </xf>
    <xf numFmtId="0" fontId="4" fillId="0" borderId="0" xfId="6" applyFont="1" applyBorder="1" applyAlignment="1" applyProtection="1">
      <alignment horizontal="center" vertical="top"/>
      <protection locked="0"/>
    </xf>
    <xf numFmtId="169" fontId="17" fillId="0" borderId="0" xfId="8" applyFont="1" applyBorder="1" applyProtection="1">
      <alignment horizontal="right" vertical="top"/>
      <protection locked="0"/>
    </xf>
    <xf numFmtId="0" fontId="19" fillId="0" borderId="0" xfId="0" applyFont="1" applyBorder="1" applyProtection="1">
      <protection locked="0"/>
    </xf>
    <xf numFmtId="0" fontId="52" fillId="0" borderId="0" xfId="10" applyFont="1" applyBorder="1" applyProtection="1">
      <alignment vertical="center"/>
    </xf>
    <xf numFmtId="0" fontId="53" fillId="0" borderId="0" xfId="9" applyFont="1" applyBorder="1" applyProtection="1">
      <alignment vertical="center"/>
    </xf>
    <xf numFmtId="0" fontId="93" fillId="0" borderId="0" xfId="4" applyNumberFormat="1" applyFont="1" applyAlignment="1" applyProtection="1">
      <alignment horizontal="left"/>
      <protection locked="0"/>
    </xf>
    <xf numFmtId="0" fontId="21" fillId="0" borderId="0" xfId="4" applyNumberFormat="1" applyFont="1" applyAlignment="1" applyProtection="1">
      <protection locked="0"/>
    </xf>
    <xf numFmtId="0" fontId="21" fillId="0" borderId="0" xfId="4" applyNumberFormat="1" applyFont="1" applyAlignment="1" applyProtection="1">
      <alignment horizontal="left" vertical="top"/>
      <protection locked="0"/>
    </xf>
    <xf numFmtId="0" fontId="21" fillId="0" borderId="0" xfId="4" applyNumberFormat="1" applyFont="1" applyAlignment="1" applyProtection="1">
      <alignment vertical="top"/>
      <protection locked="0"/>
    </xf>
    <xf numFmtId="0" fontId="26" fillId="0" borderId="1" xfId="15" applyNumberFormat="1" applyFont="1" applyBorder="1" applyAlignment="1" applyProtection="1">
      <alignment horizontal="left"/>
      <protection locked="0"/>
    </xf>
    <xf numFmtId="0" fontId="26" fillId="0" borderId="0" xfId="15" applyNumberFormat="1" applyFont="1" applyBorder="1" applyAlignment="1" applyProtection="1">
      <alignment horizontal="left"/>
      <protection locked="0"/>
    </xf>
    <xf numFmtId="0" fontId="24" fillId="0" borderId="0" xfId="0" applyNumberFormat="1" applyFont="1" applyAlignment="1" applyProtection="1">
      <protection locked="0"/>
    </xf>
    <xf numFmtId="0" fontId="3" fillId="0" borderId="0" xfId="16" applyNumberFormat="1" applyFont="1" applyAlignment="1" applyProtection="1">
      <protection locked="0"/>
    </xf>
    <xf numFmtId="0" fontId="24" fillId="0" borderId="0" xfId="4" applyNumberFormat="1" applyFont="1" applyProtection="1">
      <protection locked="0"/>
    </xf>
    <xf numFmtId="0" fontId="24" fillId="0" borderId="0" xfId="16" applyNumberFormat="1" applyFont="1" applyAlignment="1" applyProtection="1">
      <protection locked="0"/>
    </xf>
    <xf numFmtId="0" fontId="93" fillId="0" borderId="0" xfId="0" applyFont="1" applyFill="1" applyBorder="1" applyProtection="1">
      <protection locked="0"/>
    </xf>
    <xf numFmtId="0" fontId="85" fillId="0" borderId="0" xfId="0" applyFont="1" applyFill="1" applyBorder="1" applyProtection="1">
      <protection locked="0"/>
    </xf>
    <xf numFmtId="0" fontId="49" fillId="0" borderId="0" xfId="0" applyFont="1" applyFill="1" applyBorder="1" applyProtection="1">
      <protection locked="0"/>
    </xf>
    <xf numFmtId="0" fontId="86" fillId="0" borderId="0" xfId="0" applyFont="1" applyFill="1" applyBorder="1" applyProtection="1">
      <protection locked="0"/>
    </xf>
    <xf numFmtId="0" fontId="89" fillId="0" borderId="0" xfId="0" applyFont="1" applyFill="1" applyBorder="1" applyProtection="1">
      <protection locked="0"/>
    </xf>
    <xf numFmtId="0" fontId="89" fillId="0" borderId="0" xfId="0" applyFont="1" applyFill="1" applyBorder="1" applyAlignment="1" applyProtection="1">
      <alignment horizontal="center"/>
      <protection locked="0"/>
    </xf>
    <xf numFmtId="0" fontId="89" fillId="0" borderId="3" xfId="0" applyFont="1" applyFill="1" applyBorder="1" applyProtection="1">
      <protection locked="0"/>
    </xf>
    <xf numFmtId="0" fontId="56" fillId="5" borderId="0" xfId="0" applyFont="1" applyFill="1" applyBorder="1" applyAlignment="1" applyProtection="1">
      <alignment horizontal="center" vertical="center"/>
      <protection locked="0"/>
    </xf>
    <xf numFmtId="0" fontId="49" fillId="5" borderId="0" xfId="0" applyFont="1" applyFill="1" applyBorder="1" applyProtection="1">
      <protection locked="0"/>
    </xf>
    <xf numFmtId="0" fontId="56" fillId="5" borderId="0" xfId="0" applyFont="1" applyFill="1" applyBorder="1" applyAlignment="1" applyProtection="1">
      <alignment horizontal="center"/>
      <protection locked="0"/>
    </xf>
    <xf numFmtId="0" fontId="56" fillId="5" borderId="0" xfId="0" applyFont="1" applyFill="1" applyBorder="1" applyProtection="1">
      <protection locked="0"/>
    </xf>
    <xf numFmtId="0" fontId="50" fillId="5" borderId="0" xfId="0" applyFont="1" applyFill="1" applyBorder="1" applyProtection="1">
      <protection locked="0"/>
    </xf>
    <xf numFmtId="0" fontId="56" fillId="0" borderId="0" xfId="0" applyFont="1" applyFill="1" applyBorder="1" applyProtection="1">
      <protection locked="0"/>
    </xf>
    <xf numFmtId="0" fontId="50" fillId="0" borderId="0" xfId="0" applyFont="1" applyFill="1" applyBorder="1" applyProtection="1">
      <protection locked="0"/>
    </xf>
    <xf numFmtId="176" fontId="50" fillId="0" borderId="0" xfId="0" applyNumberFormat="1" applyFont="1" applyFill="1" applyBorder="1" applyAlignment="1" applyProtection="1">
      <alignment horizontal="center"/>
      <protection locked="0"/>
    </xf>
    <xf numFmtId="0" fontId="69" fillId="0" borderId="0" xfId="0" applyFont="1" applyFill="1" applyBorder="1" applyProtection="1">
      <protection locked="0"/>
    </xf>
    <xf numFmtId="0" fontId="70" fillId="0" borderId="0" xfId="0" applyFont="1" applyFill="1" applyBorder="1" applyAlignment="1" applyProtection="1">
      <alignment horizontal="center" vertical="center"/>
      <protection locked="0"/>
    </xf>
    <xf numFmtId="0" fontId="51" fillId="0" borderId="0" xfId="0" applyFont="1" applyFill="1" applyBorder="1" applyAlignment="1" applyProtection="1">
      <alignment horizontal="center"/>
      <protection locked="0"/>
    </xf>
    <xf numFmtId="0" fontId="70" fillId="0" borderId="0" xfId="0" applyFont="1" applyFill="1" applyBorder="1" applyProtection="1">
      <protection locked="0"/>
    </xf>
    <xf numFmtId="0" fontId="70" fillId="0" borderId="0" xfId="0" applyFont="1" applyFill="1" applyBorder="1" applyAlignment="1" applyProtection="1">
      <alignment horizontal="center"/>
      <protection locked="0"/>
    </xf>
    <xf numFmtId="0" fontId="51" fillId="0" borderId="0" xfId="0" applyFont="1" applyFill="1" applyBorder="1" applyProtection="1">
      <protection locked="0"/>
    </xf>
    <xf numFmtId="0" fontId="49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left" vertical="center" indent="4"/>
      <protection locked="0"/>
    </xf>
    <xf numFmtId="0" fontId="0" fillId="0" borderId="0" xfId="0" applyAlignment="1" applyProtection="1">
      <alignment horizontal="left" vertical="center" indent="9"/>
      <protection locked="0"/>
    </xf>
    <xf numFmtId="0" fontId="69" fillId="0" borderId="0" xfId="0" applyFont="1" applyFill="1" applyBorder="1" applyProtection="1"/>
    <xf numFmtId="0" fontId="0" fillId="0" borderId="0" xfId="0" applyProtection="1"/>
    <xf numFmtId="166" fontId="14" fillId="0" borderId="0" xfId="14" applyFont="1" applyProtection="1">
      <protection locked="0"/>
    </xf>
    <xf numFmtId="0" fontId="0" fillId="3" borderId="3" xfId="0" applyFill="1" applyBorder="1" applyProtection="1">
      <protection locked="0"/>
    </xf>
    <xf numFmtId="0" fontId="26" fillId="0" borderId="4" xfId="15" applyFont="1" applyBorder="1" applyAlignment="1" applyProtection="1">
      <alignment horizontal="center" wrapText="1"/>
      <protection locked="0"/>
    </xf>
    <xf numFmtId="0" fontId="114" fillId="8" borderId="17" xfId="15" applyFont="1" applyFill="1" applyBorder="1" applyProtection="1">
      <alignment horizontal="right" wrapText="1"/>
      <protection locked="0"/>
    </xf>
    <xf numFmtId="0" fontId="121" fillId="3" borderId="3" xfId="15" applyFont="1" applyFill="1" applyBorder="1" applyAlignment="1" applyProtection="1">
      <alignment horizontal="center" wrapText="1"/>
      <protection locked="0"/>
    </xf>
    <xf numFmtId="0" fontId="26" fillId="0" borderId="0" xfId="15" applyFont="1" applyBorder="1" applyAlignment="1" applyProtection="1">
      <alignment horizontal="center" wrapText="1"/>
      <protection locked="0"/>
    </xf>
    <xf numFmtId="0" fontId="0" fillId="3" borderId="20" xfId="0" applyFill="1" applyBorder="1" applyProtection="1"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64" fontId="32" fillId="3" borderId="3" xfId="22" applyNumberFormat="1" applyFill="1" applyBorder="1" applyProtection="1">
      <protection locked="0"/>
    </xf>
    <xf numFmtId="174" fontId="32" fillId="3" borderId="3" xfId="23" applyNumberFormat="1" applyFont="1" applyFill="1" applyBorder="1" applyProtection="1">
      <protection locked="0"/>
    </xf>
    <xf numFmtId="9" fontId="32" fillId="3" borderId="3" xfId="2" applyFont="1" applyFill="1" applyBorder="1" applyProtection="1">
      <protection locked="0"/>
    </xf>
    <xf numFmtId="2" fontId="32" fillId="3" borderId="3" xfId="22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174" fontId="0" fillId="0" borderId="0" xfId="0" applyNumberFormat="1" applyProtection="1">
      <protection locked="0"/>
    </xf>
    <xf numFmtId="164" fontId="0" fillId="3" borderId="3" xfId="0" applyNumberFormat="1" applyFill="1" applyBorder="1" applyProtection="1">
      <protection locked="0"/>
    </xf>
    <xf numFmtId="174" fontId="0" fillId="3" borderId="3" xfId="23" applyNumberFormat="1" applyFon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34" fillId="0" borderId="0" xfId="0" applyFont="1" applyFill="1" applyProtection="1">
      <protection locked="0"/>
    </xf>
    <xf numFmtId="166" fontId="3" fillId="0" borderId="10" xfId="21" applyFont="1" applyBorder="1" applyProtection="1">
      <alignment horizontal="left" vertical="top"/>
      <protection locked="0"/>
    </xf>
    <xf numFmtId="166" fontId="31" fillId="0" borderId="11" xfId="21" applyFont="1" applyBorder="1" applyProtection="1">
      <alignment horizontal="left" vertical="top"/>
      <protection locked="0"/>
    </xf>
    <xf numFmtId="0" fontId="0" fillId="0" borderId="11" xfId="0" quotePrefix="1" applyBorder="1" applyProtection="1">
      <protection locked="0"/>
    </xf>
    <xf numFmtId="0" fontId="0" fillId="0" borderId="11" xfId="0" applyBorder="1" applyProtection="1">
      <protection locked="0"/>
    </xf>
    <xf numFmtId="9" fontId="0" fillId="3" borderId="49" xfId="2" applyFont="1" applyFill="1" applyBorder="1" applyProtection="1">
      <protection locked="0"/>
    </xf>
    <xf numFmtId="0" fontId="0" fillId="0" borderId="14" xfId="0" applyBorder="1" applyProtection="1">
      <protection locked="0"/>
    </xf>
    <xf numFmtId="173" fontId="0" fillId="0" borderId="0" xfId="2" applyNumberFormat="1" applyFont="1" applyProtection="1">
      <protection locked="0"/>
    </xf>
    <xf numFmtId="166" fontId="39" fillId="0" borderId="0" xfId="21" applyFont="1" applyFill="1" applyProtection="1">
      <alignment horizontal="left" vertical="top"/>
      <protection locked="0"/>
    </xf>
    <xf numFmtId="166" fontId="31" fillId="0" borderId="0" xfId="21" applyFont="1" applyFill="1" applyProtection="1">
      <alignment horizontal="left" vertical="top"/>
      <protection locked="0"/>
    </xf>
    <xf numFmtId="0" fontId="58" fillId="0" borderId="0" xfId="0" applyFont="1" applyAlignment="1" applyProtection="1">
      <alignment horizontal="left" wrapText="1"/>
      <protection locked="0"/>
    </xf>
    <xf numFmtId="0" fontId="59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74" fontId="60" fillId="0" borderId="0" xfId="23" applyNumberFormat="1" applyFont="1" applyFill="1" applyAlignment="1" applyProtection="1">
      <alignment vertical="center"/>
      <protection locked="0"/>
    </xf>
    <xf numFmtId="0" fontId="0" fillId="0" borderId="0" xfId="0" applyFont="1" applyFill="1" applyBorder="1" applyProtection="1">
      <protection locked="0"/>
    </xf>
    <xf numFmtId="1" fontId="0" fillId="0" borderId="0" xfId="0" applyNumberFormat="1" applyFont="1" applyFill="1" applyBorder="1" applyProtection="1">
      <protection locked="0"/>
    </xf>
    <xf numFmtId="0" fontId="109" fillId="8" borderId="22" xfId="0" applyFont="1" applyFill="1" applyBorder="1" applyAlignment="1" applyProtection="1">
      <alignment horizontal="right"/>
      <protection locked="0"/>
    </xf>
    <xf numFmtId="0" fontId="109" fillId="8" borderId="23" xfId="0" applyFont="1" applyFill="1" applyBorder="1" applyAlignment="1" applyProtection="1">
      <alignment horizontal="right"/>
      <protection locked="0"/>
    </xf>
    <xf numFmtId="0" fontId="29" fillId="0" borderId="0" xfId="24" applyFont="1" applyFill="1" applyBorder="1" applyAlignment="1" applyProtection="1">
      <alignment vertical="center"/>
      <protection locked="0"/>
    </xf>
    <xf numFmtId="0" fontId="73" fillId="0" borderId="0" xfId="24" applyFont="1" applyFill="1" applyBorder="1" applyProtection="1">
      <protection locked="0"/>
    </xf>
    <xf numFmtId="0" fontId="74" fillId="0" borderId="0" xfId="0" applyFont="1" applyFill="1" applyBorder="1" applyAlignment="1" applyProtection="1">
      <alignment horizontal="center" vertical="center" wrapText="1"/>
      <protection locked="0"/>
    </xf>
    <xf numFmtId="3" fontId="74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0" xfId="24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0" applyFont="1" applyFill="1" applyBorder="1" applyProtection="1">
      <protection locked="0"/>
    </xf>
    <xf numFmtId="3" fontId="75" fillId="0" borderId="0" xfId="0" applyNumberFormat="1" applyFont="1" applyFill="1" applyBorder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74" fontId="0" fillId="0" borderId="0" xfId="23" applyNumberFormat="1" applyFont="1" applyProtection="1">
      <protection locked="0"/>
    </xf>
    <xf numFmtId="2" fontId="35" fillId="0" borderId="3" xfId="22" applyNumberFormat="1" applyFont="1" applyFill="1" applyBorder="1" applyProtection="1"/>
    <xf numFmtId="164" fontId="32" fillId="0" borderId="3" xfId="22" applyNumberFormat="1" applyFill="1" applyBorder="1" applyProtection="1"/>
    <xf numFmtId="2" fontId="0" fillId="0" borderId="3" xfId="0" applyNumberFormat="1" applyFill="1" applyBorder="1" applyProtection="1"/>
    <xf numFmtId="9" fontId="0" fillId="4" borderId="3" xfId="0" applyNumberFormat="1" applyFill="1" applyBorder="1" applyProtection="1"/>
    <xf numFmtId="2" fontId="0" fillId="0" borderId="3" xfId="0" applyNumberFormat="1" applyBorder="1" applyProtection="1"/>
    <xf numFmtId="164" fontId="0" fillId="0" borderId="24" xfId="0" applyNumberFormat="1" applyBorder="1" applyProtection="1"/>
    <xf numFmtId="164" fontId="110" fillId="0" borderId="0" xfId="0" applyNumberFormat="1" applyFont="1" applyFill="1" applyBorder="1" applyAlignment="1" applyProtection="1">
      <alignment horizontal="right"/>
      <protection locked="0"/>
    </xf>
    <xf numFmtId="164" fontId="59" fillId="0" borderId="0" xfId="0" applyNumberFormat="1" applyFont="1" applyFill="1" applyBorder="1" applyAlignment="1" applyProtection="1">
      <alignment horizontal="right"/>
      <protection locked="0"/>
    </xf>
    <xf numFmtId="0" fontId="59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109" fillId="0" borderId="0" xfId="0" applyFont="1" applyFill="1" applyBorder="1" applyAlignment="1" applyProtection="1">
      <alignment horizontal="left" wrapText="1"/>
      <protection locked="0"/>
    </xf>
    <xf numFmtId="0" fontId="109" fillId="0" borderId="0" xfId="0" applyFont="1" applyFill="1" applyBorder="1" applyAlignment="1" applyProtection="1">
      <alignment horizontal="right" wrapText="1"/>
      <protection locked="0"/>
    </xf>
    <xf numFmtId="0" fontId="109" fillId="0" borderId="0" xfId="0" applyFont="1" applyFill="1" applyBorder="1" applyAlignment="1" applyProtection="1">
      <alignment horizontal="right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4" fontId="0" fillId="0" borderId="0" xfId="23" applyNumberFormat="1" applyFont="1" applyFill="1" applyBorder="1" applyProtection="1">
      <protection locked="0"/>
    </xf>
    <xf numFmtId="165" fontId="0" fillId="0" borderId="0" xfId="0" applyNumberFormat="1" applyFill="1" applyBorder="1" applyAlignment="1" applyProtection="1">
      <alignment horizontal="right"/>
      <protection locked="0"/>
    </xf>
    <xf numFmtId="0" fontId="58" fillId="0" borderId="0" xfId="0" applyFont="1" applyFill="1" applyBorder="1" applyAlignment="1" applyProtection="1">
      <alignment horizontal="right" wrapText="1"/>
      <protection locked="0"/>
    </xf>
    <xf numFmtId="0" fontId="58" fillId="0" borderId="0" xfId="0" applyFont="1" applyFill="1" applyBorder="1" applyAlignment="1" applyProtection="1">
      <alignment horizontal="right"/>
      <protection locked="0"/>
    </xf>
    <xf numFmtId="0" fontId="0" fillId="3" borderId="35" xfId="0" applyFill="1" applyBorder="1" applyProtection="1"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164" fontId="32" fillId="3" borderId="7" xfId="22" applyNumberFormat="1" applyFill="1" applyBorder="1" applyProtection="1">
      <protection locked="0"/>
    </xf>
    <xf numFmtId="174" fontId="32" fillId="3" borderId="7" xfId="23" applyNumberFormat="1" applyFont="1" applyFill="1" applyBorder="1" applyProtection="1">
      <protection locked="0"/>
    </xf>
    <xf numFmtId="9" fontId="32" fillId="3" borderId="7" xfId="2" applyFont="1" applyFill="1" applyBorder="1" applyProtection="1">
      <protection locked="0"/>
    </xf>
    <xf numFmtId="9" fontId="32" fillId="0" borderId="7" xfId="2" applyFont="1" applyFill="1" applyBorder="1" applyProtection="1"/>
    <xf numFmtId="2" fontId="32" fillId="3" borderId="7" xfId="22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35" fillId="0" borderId="7" xfId="22" applyNumberFormat="1" applyFont="1" applyFill="1" applyBorder="1" applyProtection="1"/>
    <xf numFmtId="164" fontId="32" fillId="0" borderId="7" xfId="22" applyNumberFormat="1" applyFill="1" applyBorder="1" applyProtection="1"/>
    <xf numFmtId="9" fontId="0" fillId="3" borderId="7" xfId="2" applyFont="1" applyFill="1" applyBorder="1" applyProtection="1">
      <protection locked="0"/>
    </xf>
    <xf numFmtId="2" fontId="0" fillId="0" borderId="7" xfId="0" applyNumberFormat="1" applyFill="1" applyBorder="1" applyProtection="1"/>
    <xf numFmtId="164" fontId="0" fillId="0" borderId="7" xfId="0" applyNumberFormat="1" applyBorder="1" applyProtection="1"/>
    <xf numFmtId="9" fontId="0" fillId="4" borderId="7" xfId="0" applyNumberFormat="1" applyFill="1" applyBorder="1" applyProtection="1"/>
    <xf numFmtId="2" fontId="0" fillId="0" borderId="7" xfId="0" applyNumberFormat="1" applyBorder="1" applyProtection="1"/>
    <xf numFmtId="164" fontId="0" fillId="0" borderId="29" xfId="0" applyNumberFormat="1" applyBorder="1" applyProtection="1"/>
    <xf numFmtId="0" fontId="114" fillId="8" borderId="16" xfId="15" applyFont="1" applyFill="1" applyBorder="1" applyProtection="1">
      <alignment horizontal="right" wrapText="1"/>
      <protection locked="0"/>
    </xf>
    <xf numFmtId="0" fontId="114" fillId="8" borderId="9" xfId="15" applyFont="1" applyFill="1" applyBorder="1" applyProtection="1">
      <alignment horizontal="right" wrapText="1"/>
      <protection locked="0"/>
    </xf>
    <xf numFmtId="0" fontId="114" fillId="8" borderId="7" xfId="15" applyFont="1" applyFill="1" applyBorder="1" applyProtection="1">
      <alignment horizontal="right" wrapText="1"/>
      <protection locked="0"/>
    </xf>
    <xf numFmtId="0" fontId="114" fillId="8" borderId="7" xfId="15" applyFont="1" applyFill="1" applyBorder="1" applyAlignment="1" applyProtection="1">
      <alignment horizontal="center" wrapText="1"/>
      <protection locked="0"/>
    </xf>
    <xf numFmtId="0" fontId="114" fillId="8" borderId="16" xfId="15" applyFont="1" applyFill="1" applyBorder="1" applyAlignment="1" applyProtection="1">
      <alignment horizontal="center" wrapText="1"/>
      <protection locked="0"/>
    </xf>
    <xf numFmtId="0" fontId="121" fillId="3" borderId="5" xfId="15" applyFont="1" applyFill="1" applyBorder="1" applyAlignment="1" applyProtection="1">
      <alignment horizontal="center" wrapText="1"/>
      <protection locked="0"/>
    </xf>
    <xf numFmtId="0" fontId="114" fillId="8" borderId="6" xfId="15" applyFont="1" applyFill="1" applyBorder="1" applyProtection="1">
      <alignment horizontal="right" wrapText="1"/>
      <protection locked="0"/>
    </xf>
    <xf numFmtId="0" fontId="34" fillId="0" borderId="50" xfId="0" applyFont="1" applyFill="1" applyBorder="1" applyProtection="1"/>
    <xf numFmtId="0" fontId="34" fillId="0" borderId="9" xfId="0" applyFont="1" applyFill="1" applyBorder="1" applyAlignment="1" applyProtection="1">
      <alignment horizontal="center"/>
    </xf>
    <xf numFmtId="164" fontId="72" fillId="0" borderId="9" xfId="22" applyNumberFormat="1" applyFont="1" applyFill="1" applyBorder="1" applyProtection="1"/>
    <xf numFmtId="174" fontId="72" fillId="0" borderId="9" xfId="23" applyNumberFormat="1" applyFont="1" applyFill="1" applyBorder="1" applyProtection="1"/>
    <xf numFmtId="9" fontId="72" fillId="0" borderId="9" xfId="2" applyNumberFormat="1" applyFont="1" applyFill="1" applyBorder="1" applyProtection="1"/>
    <xf numFmtId="2" fontId="72" fillId="0" borderId="9" xfId="22" applyNumberFormat="1" applyFont="1" applyFill="1" applyBorder="1" applyProtection="1"/>
    <xf numFmtId="2" fontId="35" fillId="0" borderId="9" xfId="22" applyNumberFormat="1" applyFont="1" applyFill="1" applyBorder="1" applyProtection="1"/>
    <xf numFmtId="9" fontId="34" fillId="0" borderId="9" xfId="2" applyFont="1" applyFill="1" applyBorder="1" applyProtection="1"/>
    <xf numFmtId="2" fontId="34" fillId="0" borderId="9" xfId="0" applyNumberFormat="1" applyFont="1" applyFill="1" applyBorder="1" applyProtection="1"/>
    <xf numFmtId="9" fontId="34" fillId="0" borderId="9" xfId="0" applyNumberFormat="1" applyFont="1" applyFill="1" applyBorder="1" applyProtection="1"/>
    <xf numFmtId="164" fontId="72" fillId="0" borderId="51" xfId="22" applyNumberFormat="1" applyFont="1" applyFill="1" applyBorder="1" applyProtection="1"/>
    <xf numFmtId="0" fontId="114" fillId="8" borderId="52" xfId="15" applyFont="1" applyFill="1" applyBorder="1" applyAlignment="1" applyProtection="1">
      <alignment horizontal="left" vertical="top" wrapText="1"/>
      <protection locked="0"/>
    </xf>
    <xf numFmtId="0" fontId="114" fillId="8" borderId="53" xfId="15" applyFont="1" applyFill="1" applyBorder="1" applyAlignment="1" applyProtection="1">
      <alignment horizontal="center" vertical="center" wrapText="1"/>
      <protection locked="0"/>
    </xf>
    <xf numFmtId="0" fontId="114" fillId="8" borderId="54" xfId="15" applyFont="1" applyFill="1" applyBorder="1" applyAlignment="1" applyProtection="1">
      <alignment horizontal="center" vertical="center" wrapText="1"/>
      <protection locked="0"/>
    </xf>
    <xf numFmtId="0" fontId="114" fillId="8" borderId="30" xfId="15" applyFont="1" applyFill="1" applyBorder="1" applyAlignment="1" applyProtection="1">
      <alignment horizontal="center" vertical="center" wrapText="1"/>
      <protection locked="0"/>
    </xf>
    <xf numFmtId="0" fontId="114" fillId="8" borderId="31" xfId="15" applyFont="1" applyFill="1" applyBorder="1" applyAlignment="1" applyProtection="1">
      <alignment horizontal="left" vertical="top" wrapText="1"/>
      <protection locked="0"/>
    </xf>
    <xf numFmtId="0" fontId="114" fillId="8" borderId="31" xfId="15" applyFont="1" applyFill="1" applyBorder="1" applyAlignment="1" applyProtection="1">
      <alignment horizontal="center" vertical="center" wrapText="1"/>
      <protection locked="0"/>
    </xf>
    <xf numFmtId="0" fontId="114" fillId="8" borderId="32" xfId="15" applyFont="1" applyFill="1" applyBorder="1" applyAlignment="1" applyProtection="1">
      <alignment horizontal="center" vertical="center" wrapText="1"/>
      <protection locked="0"/>
    </xf>
    <xf numFmtId="0" fontId="114" fillId="8" borderId="33" xfId="15" applyFont="1" applyFill="1" applyBorder="1" applyAlignment="1" applyProtection="1">
      <alignment horizontal="center" vertical="center" wrapText="1"/>
      <protection locked="0"/>
    </xf>
    <xf numFmtId="0" fontId="114" fillId="8" borderId="50" xfId="15" applyFont="1" applyFill="1" applyBorder="1" applyProtection="1">
      <alignment horizontal="right" wrapText="1"/>
      <protection locked="0"/>
    </xf>
    <xf numFmtId="0" fontId="114" fillId="8" borderId="48" xfId="15" applyFont="1" applyFill="1" applyBorder="1" applyProtection="1">
      <alignment horizontal="right" wrapText="1"/>
      <protection locked="0"/>
    </xf>
    <xf numFmtId="0" fontId="114" fillId="8" borderId="35" xfId="15" applyFont="1" applyFill="1" applyBorder="1" applyProtection="1">
      <alignment horizontal="right" wrapText="1"/>
      <protection locked="0"/>
    </xf>
    <xf numFmtId="0" fontId="114" fillId="8" borderId="29" xfId="15" applyFont="1" applyFill="1" applyBorder="1" applyProtection="1">
      <alignment horizontal="right" wrapText="1"/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164" fontId="32" fillId="3" borderId="26" xfId="22" applyNumberFormat="1" applyFill="1" applyBorder="1" applyProtection="1">
      <protection locked="0"/>
    </xf>
    <xf numFmtId="1" fontId="32" fillId="3" borderId="26" xfId="22" applyNumberFormat="1" applyFill="1" applyBorder="1" applyProtection="1">
      <protection locked="0"/>
    </xf>
    <xf numFmtId="9" fontId="32" fillId="3" borderId="26" xfId="2" applyFont="1" applyFill="1" applyBorder="1" applyProtection="1">
      <protection locked="0"/>
    </xf>
    <xf numFmtId="9" fontId="32" fillId="0" borderId="26" xfId="2" applyFont="1" applyFill="1" applyBorder="1" applyProtection="1"/>
    <xf numFmtId="2" fontId="32" fillId="3" borderId="26" xfId="22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35" fillId="0" borderId="26" xfId="22" applyNumberFormat="1" applyFont="1" applyFill="1" applyBorder="1" applyProtection="1"/>
    <xf numFmtId="164" fontId="32" fillId="0" borderId="26" xfId="22" applyNumberFormat="1" applyFill="1" applyBorder="1" applyProtection="1"/>
    <xf numFmtId="9" fontId="0" fillId="3" borderId="26" xfId="2" applyFont="1" applyFill="1" applyBorder="1" applyProtection="1">
      <protection locked="0"/>
    </xf>
    <xf numFmtId="2" fontId="0" fillId="0" borderId="26" xfId="0" applyNumberFormat="1" applyFill="1" applyBorder="1" applyProtection="1"/>
    <xf numFmtId="164" fontId="0" fillId="0" borderId="26" xfId="0" applyNumberFormat="1" applyBorder="1" applyProtection="1"/>
    <xf numFmtId="9" fontId="0" fillId="4" borderId="26" xfId="0" applyNumberFormat="1" applyFill="1" applyBorder="1" applyProtection="1"/>
    <xf numFmtId="2" fontId="0" fillId="0" borderId="26" xfId="0" applyNumberFormat="1" applyBorder="1" applyProtection="1"/>
    <xf numFmtId="164" fontId="0" fillId="0" borderId="27" xfId="0" applyNumberFormat="1" applyBorder="1" applyProtection="1"/>
    <xf numFmtId="166" fontId="14" fillId="0" borderId="0" xfId="14" applyFont="1" applyBorder="1" applyProtection="1">
      <protection locked="0"/>
    </xf>
    <xf numFmtId="0" fontId="0" fillId="0" borderId="0" xfId="0" quotePrefix="1" applyProtection="1">
      <protection locked="0"/>
    </xf>
    <xf numFmtId="9" fontId="34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0" borderId="24" xfId="0" applyBorder="1" applyProtection="1">
      <protection locked="0"/>
    </xf>
    <xf numFmtId="9" fontId="0" fillId="0" borderId="0" xfId="2" applyFont="1" applyBorder="1" applyAlignment="1" applyProtection="1">
      <alignment horizontal="center"/>
      <protection locked="0"/>
    </xf>
    <xf numFmtId="184" fontId="0" fillId="0" borderId="3" xfId="0" applyNumberFormat="1" applyBorder="1" applyProtection="1">
      <protection locked="0"/>
    </xf>
    <xf numFmtId="184" fontId="0" fillId="0" borderId="26" xfId="0" applyNumberFormat="1" applyBorder="1" applyProtection="1">
      <protection locked="0"/>
    </xf>
    <xf numFmtId="184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42" fillId="0" borderId="0" xfId="0" applyFont="1" applyProtection="1">
      <protection locked="0"/>
    </xf>
    <xf numFmtId="0" fontId="35" fillId="0" borderId="0" xfId="0" applyFont="1" applyBorder="1" applyProtection="1">
      <protection locked="0"/>
    </xf>
    <xf numFmtId="0" fontId="42" fillId="0" borderId="0" xfId="0" applyFont="1" applyBorder="1" applyProtection="1">
      <protection locked="0"/>
    </xf>
    <xf numFmtId="0" fontId="111" fillId="7" borderId="41" xfId="0" applyFont="1" applyFill="1" applyBorder="1" applyProtection="1">
      <protection locked="0"/>
    </xf>
    <xf numFmtId="0" fontId="109" fillId="7" borderId="28" xfId="0" applyFont="1" applyFill="1" applyBorder="1" applyProtection="1">
      <protection locked="0"/>
    </xf>
    <xf numFmtId="0" fontId="109" fillId="7" borderId="31" xfId="0" applyFont="1" applyFill="1" applyBorder="1" applyProtection="1">
      <protection locked="0"/>
    </xf>
    <xf numFmtId="0" fontId="109" fillId="7" borderId="33" xfId="0" applyFont="1" applyFill="1" applyBorder="1" applyAlignment="1" applyProtection="1">
      <alignment horizontal="center"/>
      <protection locked="0"/>
    </xf>
    <xf numFmtId="0" fontId="109" fillId="0" borderId="0" xfId="0" applyFont="1" applyFill="1" applyBorder="1" applyProtection="1">
      <protection locked="0"/>
    </xf>
    <xf numFmtId="0" fontId="109" fillId="7" borderId="44" xfId="0" applyFont="1" applyFill="1" applyBorder="1" applyAlignment="1" applyProtection="1">
      <alignment wrapText="1"/>
      <protection locked="0"/>
    </xf>
    <xf numFmtId="0" fontId="109" fillId="7" borderId="45" xfId="0" applyFont="1" applyFill="1" applyBorder="1" applyAlignment="1" applyProtection="1">
      <alignment wrapText="1"/>
      <protection locked="0"/>
    </xf>
    <xf numFmtId="0" fontId="109" fillId="7" borderId="46" xfId="0" applyFont="1" applyFill="1" applyBorder="1" applyAlignment="1" applyProtection="1">
      <alignment horizontal="center" wrapText="1"/>
      <protection locked="0"/>
    </xf>
    <xf numFmtId="0" fontId="109" fillId="7" borderId="47" xfId="0" applyFont="1" applyFill="1" applyBorder="1" applyAlignment="1" applyProtection="1">
      <alignment horizontal="center" wrapText="1"/>
      <protection locked="0"/>
    </xf>
    <xf numFmtId="173" fontId="0" fillId="3" borderId="5" xfId="2" applyNumberFormat="1" applyFont="1" applyFill="1" applyBorder="1" applyAlignment="1" applyProtection="1">
      <alignment horizontal="center"/>
      <protection locked="0"/>
    </xf>
    <xf numFmtId="173" fontId="0" fillId="3" borderId="20" xfId="2" applyNumberFormat="1" applyFont="1" applyFill="1" applyBorder="1" applyAlignment="1" applyProtection="1">
      <alignment horizontal="center"/>
      <protection locked="0"/>
    </xf>
    <xf numFmtId="164" fontId="0" fillId="3" borderId="7" xfId="0" applyNumberFormat="1" applyFont="1" applyFill="1" applyBorder="1" applyProtection="1">
      <protection locked="0"/>
    </xf>
    <xf numFmtId="164" fontId="0" fillId="3" borderId="26" xfId="0" applyNumberFormat="1" applyFill="1" applyBorder="1" applyProtection="1">
      <protection locked="0"/>
    </xf>
    <xf numFmtId="173" fontId="0" fillId="3" borderId="25" xfId="2" applyNumberFormat="1" applyFont="1" applyFill="1" applyBorder="1" applyAlignment="1" applyProtection="1">
      <alignment horizontal="center"/>
      <protection locked="0"/>
    </xf>
    <xf numFmtId="173" fontId="0" fillId="3" borderId="38" xfId="2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Protection="1">
      <protection locked="0"/>
    </xf>
    <xf numFmtId="173" fontId="0" fillId="0" borderId="0" xfId="2" applyNumberFormat="1" applyFont="1" applyFill="1" applyBorder="1" applyAlignment="1" applyProtection="1">
      <alignment horizontal="center"/>
      <protection locked="0"/>
    </xf>
    <xf numFmtId="0" fontId="109" fillId="7" borderId="19" xfId="0" applyFont="1" applyFill="1" applyBorder="1" applyAlignment="1" applyProtection="1">
      <alignment horizontal="right"/>
      <protection locked="0"/>
    </xf>
    <xf numFmtId="0" fontId="109" fillId="7" borderId="12" xfId="0" applyFont="1" applyFill="1" applyBorder="1" applyAlignment="1" applyProtection="1">
      <alignment horizontal="right"/>
      <protection locked="0"/>
    </xf>
    <xf numFmtId="0" fontId="113" fillId="7" borderId="42" xfId="0" applyFont="1" applyFill="1" applyBorder="1" applyProtection="1">
      <protection locked="0"/>
    </xf>
    <xf numFmtId="0" fontId="110" fillId="7" borderId="34" xfId="0" applyFont="1" applyFill="1" applyBorder="1" applyAlignment="1" applyProtection="1">
      <alignment horizontal="right"/>
      <protection locked="0"/>
    </xf>
    <xf numFmtId="0" fontId="110" fillId="7" borderId="39" xfId="0" applyFont="1" applyFill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182" fontId="0" fillId="3" borderId="0" xfId="0" applyNumberFormat="1" applyFill="1" applyProtection="1">
      <protection locked="0"/>
    </xf>
    <xf numFmtId="184" fontId="55" fillId="0" borderId="26" xfId="0" applyNumberFormat="1" applyFont="1" applyBorder="1" applyProtection="1">
      <protection locked="0"/>
    </xf>
    <xf numFmtId="0" fontId="55" fillId="0" borderId="0" xfId="0" applyFont="1" applyFill="1" applyBorder="1" applyProtection="1">
      <protection locked="0"/>
    </xf>
    <xf numFmtId="184" fontId="55" fillId="0" borderId="0" xfId="0" applyNumberFormat="1" applyFont="1" applyBorder="1" applyProtection="1">
      <protection locked="0"/>
    </xf>
    <xf numFmtId="182" fontId="55" fillId="0" borderId="0" xfId="0" applyNumberFormat="1" applyFont="1" applyBorder="1" applyProtection="1">
      <protection locked="0"/>
    </xf>
    <xf numFmtId="0" fontId="57" fillId="0" borderId="0" xfId="0" applyFont="1" applyBorder="1" applyProtection="1">
      <protection locked="0"/>
    </xf>
    <xf numFmtId="9" fontId="0" fillId="0" borderId="0" xfId="2" applyFont="1" applyFill="1" applyBorder="1" applyProtection="1">
      <protection locked="0"/>
    </xf>
    <xf numFmtId="0" fontId="110" fillId="8" borderId="3" xfId="0" applyFont="1" applyFill="1" applyBorder="1" applyProtection="1">
      <protection locked="0"/>
    </xf>
    <xf numFmtId="184" fontId="0" fillId="0" borderId="0" xfId="0" applyNumberFormat="1" applyFill="1" applyBorder="1" applyProtection="1">
      <protection locked="0"/>
    </xf>
    <xf numFmtId="1" fontId="0" fillId="0" borderId="3" xfId="0" applyNumberFormat="1" applyBorder="1" applyProtection="1"/>
    <xf numFmtId="184" fontId="0" fillId="0" borderId="24" xfId="0" applyNumberFormat="1" applyBorder="1" applyProtection="1"/>
    <xf numFmtId="184" fontId="0" fillId="0" borderId="26" xfId="0" applyNumberFormat="1" applyBorder="1" applyProtection="1"/>
    <xf numFmtId="0" fontId="0" fillId="0" borderId="26" xfId="0" applyBorder="1" applyProtection="1"/>
    <xf numFmtId="164" fontId="0" fillId="0" borderId="3" xfId="0" applyNumberFormat="1" applyFill="1" applyBorder="1" applyProtection="1"/>
    <xf numFmtId="164" fontId="0" fillId="0" borderId="7" xfId="0" applyNumberFormat="1" applyFont="1" applyFill="1" applyBorder="1" applyProtection="1"/>
    <xf numFmtId="164" fontId="0" fillId="0" borderId="26" xfId="0" applyNumberFormat="1" applyFill="1" applyBorder="1" applyProtection="1"/>
    <xf numFmtId="173" fontId="0" fillId="0" borderId="20" xfId="2" applyNumberFormat="1" applyFont="1" applyFill="1" applyBorder="1" applyAlignment="1" applyProtection="1">
      <alignment horizontal="center"/>
    </xf>
    <xf numFmtId="173" fontId="0" fillId="0" borderId="35" xfId="0" applyNumberFormat="1" applyFont="1" applyBorder="1" applyAlignment="1" applyProtection="1">
      <alignment horizontal="center"/>
    </xf>
    <xf numFmtId="173" fontId="0" fillId="0" borderId="5" xfId="2" applyNumberFormat="1" applyFont="1" applyFill="1" applyBorder="1" applyAlignment="1" applyProtection="1">
      <alignment horizontal="center"/>
    </xf>
    <xf numFmtId="173" fontId="0" fillId="0" borderId="16" xfId="0" applyNumberFormat="1" applyFont="1" applyBorder="1" applyAlignment="1" applyProtection="1">
      <alignment horizontal="center"/>
    </xf>
    <xf numFmtId="1" fontId="0" fillId="0" borderId="24" xfId="0" applyNumberFormat="1" applyBorder="1" applyProtection="1"/>
    <xf numFmtId="182" fontId="40" fillId="0" borderId="24" xfId="0" applyNumberFormat="1" applyFont="1" applyBorder="1" applyAlignment="1" applyProtection="1">
      <alignment horizontal="right"/>
    </xf>
    <xf numFmtId="182" fontId="34" fillId="0" borderId="24" xfId="2" applyNumberFormat="1" applyFont="1" applyFill="1" applyBorder="1" applyAlignment="1" applyProtection="1">
      <alignment horizontal="right"/>
    </xf>
    <xf numFmtId="182" fontId="0" fillId="0" borderId="24" xfId="2" applyNumberFormat="1" applyFont="1" applyFill="1" applyBorder="1" applyAlignment="1" applyProtection="1">
      <alignment horizontal="right"/>
    </xf>
    <xf numFmtId="182" fontId="55" fillId="0" borderId="27" xfId="0" applyNumberFormat="1" applyFont="1" applyBorder="1" applyProtection="1"/>
    <xf numFmtId="174" fontId="0" fillId="0" borderId="3" xfId="23" applyNumberFormat="1" applyFont="1" applyBorder="1" applyProtection="1"/>
    <xf numFmtId="0" fontId="0" fillId="0" borderId="0" xfId="0" applyAlignment="1" applyProtection="1">
      <alignment horizontal="center"/>
      <protection locked="0"/>
    </xf>
    <xf numFmtId="166" fontId="14" fillId="0" borderId="0" xfId="14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9" fontId="40" fillId="0" borderId="3" xfId="2" quotePrefix="1" applyFont="1" applyFill="1" applyBorder="1" applyAlignment="1" applyProtection="1">
      <alignment horizontal="right" vertical="top"/>
      <protection locked="0"/>
    </xf>
    <xf numFmtId="0" fontId="37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35" fillId="0" borderId="3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9" fontId="1" fillId="0" borderId="0" xfId="2" applyFont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0" fontId="98" fillId="0" borderId="0" xfId="0" applyFont="1" applyBorder="1" applyProtection="1">
      <protection locked="0"/>
    </xf>
    <xf numFmtId="0" fontId="99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right"/>
      <protection locked="0"/>
    </xf>
    <xf numFmtId="184" fontId="1" fillId="0" borderId="0" xfId="1" applyNumberFormat="1" applyFont="1" applyBorder="1" applyProtection="1">
      <protection locked="0"/>
    </xf>
    <xf numFmtId="184" fontId="1" fillId="0" borderId="0" xfId="1" applyNumberFormat="1" applyFont="1" applyBorder="1" applyAlignment="1" applyProtection="1">
      <alignment horizontal="right"/>
      <protection locked="0"/>
    </xf>
    <xf numFmtId="184" fontId="35" fillId="0" borderId="0" xfId="1" applyNumberFormat="1" applyFont="1" applyBorder="1" applyProtection="1">
      <protection locked="0"/>
    </xf>
    <xf numFmtId="184" fontId="35" fillId="0" borderId="0" xfId="1" applyNumberFormat="1" applyFont="1" applyBorder="1" applyAlignment="1" applyProtection="1">
      <alignment horizontal="right"/>
      <protection locked="0"/>
    </xf>
    <xf numFmtId="0" fontId="45" fillId="0" borderId="0" xfId="0" applyFont="1" applyBorder="1" applyProtection="1">
      <protection locked="0"/>
    </xf>
    <xf numFmtId="0" fontId="46" fillId="0" borderId="0" xfId="0" applyFont="1" applyBorder="1" applyProtection="1">
      <protection locked="0"/>
    </xf>
    <xf numFmtId="184" fontId="46" fillId="0" borderId="0" xfId="1" applyNumberFormat="1" applyFont="1" applyBorder="1" applyProtection="1">
      <protection locked="0"/>
    </xf>
    <xf numFmtId="184" fontId="45" fillId="0" borderId="0" xfId="1" applyNumberFormat="1" applyFont="1" applyBorder="1" applyAlignment="1" applyProtection="1">
      <alignment horizontal="right"/>
      <protection locked="0"/>
    </xf>
    <xf numFmtId="0" fontId="0" fillId="0" borderId="3" xfId="0" applyFill="1" applyBorder="1" applyProtection="1"/>
    <xf numFmtId="0" fontId="0" fillId="0" borderId="0" xfId="0" applyFont="1" applyAlignment="1" applyProtection="1">
      <alignment horizontal="center"/>
    </xf>
    <xf numFmtId="9" fontId="0" fillId="0" borderId="3" xfId="2" applyFont="1" applyFill="1" applyBorder="1" applyProtection="1"/>
    <xf numFmtId="9" fontId="0" fillId="0" borderId="3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3" xfId="0" applyBorder="1" applyAlignment="1" applyProtection="1">
      <alignment horizontal="center"/>
    </xf>
    <xf numFmtId="2" fontId="0" fillId="0" borderId="3" xfId="0" applyNumberFormat="1" applyBorder="1" applyAlignment="1" applyProtection="1">
      <alignment horizontal="right"/>
    </xf>
    <xf numFmtId="4" fontId="35" fillId="0" borderId="3" xfId="8" quotePrefix="1" applyNumberFormat="1" applyFont="1" applyFill="1" applyBorder="1" applyAlignment="1" applyProtection="1">
      <alignment vertical="top"/>
    </xf>
    <xf numFmtId="9" fontId="0" fillId="0" borderId="3" xfId="2" applyFont="1" applyFill="1" applyBorder="1" applyAlignment="1" applyProtection="1">
      <alignment horizontal="right"/>
    </xf>
    <xf numFmtId="9" fontId="1" fillId="0" borderId="3" xfId="2" applyFont="1" applyBorder="1" applyProtection="1"/>
    <xf numFmtId="0" fontId="41" fillId="0" borderId="0" xfId="0" applyFont="1" applyProtection="1">
      <protection locked="0"/>
    </xf>
    <xf numFmtId="0" fontId="113" fillId="8" borderId="3" xfId="0" applyFont="1" applyFill="1" applyBorder="1" applyAlignment="1" applyProtection="1">
      <alignment horizontal="right"/>
      <protection locked="0"/>
    </xf>
    <xf numFmtId="9" fontId="35" fillId="3" borderId="3" xfId="0" applyNumberFormat="1" applyFont="1" applyFill="1" applyBorder="1" applyAlignment="1" applyProtection="1">
      <alignment horizontal="right"/>
      <protection locked="0"/>
    </xf>
    <xf numFmtId="9" fontId="35" fillId="3" borderId="3" xfId="2" applyFont="1" applyFill="1" applyBorder="1" applyAlignment="1" applyProtection="1">
      <alignment horizontal="right"/>
      <protection locked="0"/>
    </xf>
    <xf numFmtId="0" fontId="35" fillId="3" borderId="3" xfId="2" applyNumberFormat="1" applyFont="1" applyFill="1" applyBorder="1" applyAlignment="1" applyProtection="1">
      <alignment horizontal="right"/>
      <protection locked="0"/>
    </xf>
    <xf numFmtId="182" fontId="35" fillId="3" borderId="3" xfId="0" applyNumberFormat="1" applyFont="1" applyFill="1" applyBorder="1" applyAlignment="1" applyProtection="1">
      <alignment horizontal="right"/>
      <protection locked="0"/>
    </xf>
    <xf numFmtId="9" fontId="0" fillId="0" borderId="3" xfId="0" applyNumberFormat="1" applyBorder="1" applyProtection="1">
      <protection locked="0"/>
    </xf>
    <xf numFmtId="0" fontId="40" fillId="0" borderId="3" xfId="0" applyFont="1" applyBorder="1" applyProtection="1">
      <protection locked="0"/>
    </xf>
    <xf numFmtId="9" fontId="40" fillId="0" borderId="3" xfId="2" applyFont="1" applyFill="1" applyBorder="1" applyProtection="1">
      <protection locked="0"/>
    </xf>
    <xf numFmtId="0" fontId="40" fillId="0" borderId="0" xfId="0" applyFont="1" applyProtection="1">
      <protection locked="0"/>
    </xf>
    <xf numFmtId="0" fontId="40" fillId="0" borderId="0" xfId="0" applyFont="1" applyFill="1" applyProtection="1">
      <protection locked="0"/>
    </xf>
    <xf numFmtId="1" fontId="1" fillId="3" borderId="3" xfId="2" applyNumberFormat="1" applyFont="1" applyFill="1" applyBorder="1" applyProtection="1">
      <protection locked="0"/>
    </xf>
    <xf numFmtId="0" fontId="34" fillId="0" borderId="3" xfId="0" applyFont="1" applyBorder="1" applyProtection="1">
      <protection locked="0"/>
    </xf>
    <xf numFmtId="0" fontId="45" fillId="0" borderId="3" xfId="0" applyFont="1" applyBorder="1" applyProtection="1">
      <protection locked="0"/>
    </xf>
    <xf numFmtId="0" fontId="64" fillId="0" borderId="0" xfId="0" applyFont="1" applyFill="1" applyBorder="1" applyAlignment="1" applyProtection="1">
      <alignment horizontal="left"/>
      <protection locked="0"/>
    </xf>
    <xf numFmtId="0" fontId="65" fillId="0" borderId="0" xfId="0" applyFont="1" applyFill="1" applyBorder="1" applyProtection="1">
      <protection locked="0"/>
    </xf>
    <xf numFmtId="0" fontId="64" fillId="0" borderId="0" xfId="0" applyFont="1" applyFill="1" applyBorder="1" applyAlignment="1" applyProtection="1">
      <alignment horizontal="centerContinuous"/>
      <protection locked="0"/>
    </xf>
    <xf numFmtId="0" fontId="64" fillId="0" borderId="0" xfId="0" applyFont="1" applyFill="1" applyBorder="1" applyProtection="1">
      <protection locked="0"/>
    </xf>
    <xf numFmtId="0" fontId="66" fillId="0" borderId="0" xfId="0" applyFont="1" applyFill="1" applyBorder="1" applyProtection="1">
      <protection locked="0"/>
    </xf>
    <xf numFmtId="186" fontId="67" fillId="0" borderId="0" xfId="23" applyNumberFormat="1" applyFont="1" applyFill="1" applyBorder="1" applyProtection="1">
      <protection locked="0"/>
    </xf>
    <xf numFmtId="0" fontId="68" fillId="0" borderId="0" xfId="0" applyFont="1" applyFill="1" applyBorder="1" applyProtection="1">
      <protection locked="0"/>
    </xf>
    <xf numFmtId="186" fontId="68" fillId="0" borderId="0" xfId="23" applyNumberFormat="1" applyFont="1" applyFill="1" applyBorder="1" applyProtection="1">
      <protection locked="0"/>
    </xf>
    <xf numFmtId="186" fontId="66" fillId="0" borderId="0" xfId="23" applyNumberFormat="1" applyFont="1" applyFill="1" applyBorder="1" applyProtection="1">
      <protection locked="0"/>
    </xf>
    <xf numFmtId="0" fontId="0" fillId="0" borderId="0" xfId="0" applyFill="1" applyProtection="1"/>
    <xf numFmtId="9" fontId="0" fillId="0" borderId="3" xfId="2" applyFont="1" applyBorder="1" applyAlignment="1" applyProtection="1">
      <alignment horizontal="right"/>
    </xf>
    <xf numFmtId="0" fontId="0" fillId="0" borderId="3" xfId="2" applyNumberFormat="1" applyFont="1" applyBorder="1" applyAlignment="1" applyProtection="1">
      <alignment horizontal="right"/>
    </xf>
    <xf numFmtId="182" fontId="0" fillId="0" borderId="3" xfId="2" applyNumberFormat="1" applyFont="1" applyBorder="1" applyAlignment="1" applyProtection="1">
      <alignment horizontal="right"/>
    </xf>
    <xf numFmtId="9" fontId="0" fillId="0" borderId="3" xfId="0" applyNumberFormat="1" applyBorder="1" applyAlignment="1" applyProtection="1">
      <alignment horizontal="right"/>
    </xf>
    <xf numFmtId="164" fontId="0" fillId="0" borderId="3" xfId="0" applyNumberFormat="1" applyBorder="1" applyAlignment="1" applyProtection="1">
      <alignment horizontal="right"/>
    </xf>
    <xf numFmtId="164" fontId="35" fillId="0" borderId="3" xfId="0" applyNumberFormat="1" applyFont="1" applyBorder="1" applyAlignment="1" applyProtection="1">
      <alignment horizontal="right"/>
    </xf>
    <xf numFmtId="164" fontId="0" fillId="0" borderId="3" xfId="0" applyNumberFormat="1" applyFont="1" applyBorder="1" applyAlignment="1" applyProtection="1">
      <alignment horizontal="right"/>
    </xf>
    <xf numFmtId="164" fontId="40" fillId="0" borderId="3" xfId="0" applyNumberFormat="1" applyFont="1" applyBorder="1" applyProtection="1"/>
    <xf numFmtId="164" fontId="34" fillId="0" borderId="3" xfId="0" applyNumberFormat="1" applyFont="1" applyBorder="1" applyAlignment="1" applyProtection="1">
      <alignment horizontal="right"/>
    </xf>
    <xf numFmtId="164" fontId="45" fillId="0" borderId="3" xfId="0" applyNumberFormat="1" applyFont="1" applyBorder="1" applyAlignment="1" applyProtection="1">
      <alignment horizontal="right"/>
    </xf>
    <xf numFmtId="164" fontId="35" fillId="0" borderId="3" xfId="0" applyNumberFormat="1" applyFont="1" applyBorder="1" applyProtection="1"/>
    <xf numFmtId="164" fontId="0" fillId="4" borderId="3" xfId="0" applyNumberFormat="1" applyFill="1" applyBorder="1" applyProtection="1"/>
    <xf numFmtId="9" fontId="35" fillId="0" borderId="3" xfId="0" applyNumberFormat="1" applyFont="1" applyBorder="1" applyAlignment="1" applyProtection="1">
      <alignment horizontal="right"/>
    </xf>
    <xf numFmtId="182" fontId="35" fillId="0" borderId="3" xfId="0" applyNumberFormat="1" applyFont="1" applyBorder="1" applyAlignment="1" applyProtection="1">
      <alignment horizontal="right"/>
    </xf>
    <xf numFmtId="1" fontId="0" fillId="3" borderId="3" xfId="0" applyNumberFormat="1" applyFill="1" applyBorder="1" applyProtection="1">
      <protection locked="0"/>
    </xf>
    <xf numFmtId="174" fontId="34" fillId="0" borderId="3" xfId="23" applyNumberFormat="1" applyFont="1" applyFill="1" applyBorder="1" applyProtection="1">
      <protection locked="0"/>
    </xf>
    <xf numFmtId="0" fontId="0" fillId="3" borderId="3" xfId="0" applyFill="1" applyBorder="1" applyAlignment="1" applyProtection="1">
      <alignment horizontal="right"/>
      <protection locked="0"/>
    </xf>
    <xf numFmtId="178" fontId="0" fillId="3" borderId="3" xfId="23" applyNumberFormat="1" applyFont="1" applyFill="1" applyBorder="1" applyProtection="1">
      <protection locked="0"/>
    </xf>
    <xf numFmtId="187" fontId="0" fillId="3" borderId="3" xfId="0" applyNumberFormat="1" applyFill="1" applyBorder="1" applyAlignment="1" applyProtection="1">
      <alignment horizontal="right"/>
      <protection locked="0"/>
    </xf>
    <xf numFmtId="49" fontId="82" fillId="0" borderId="20" xfId="0" applyNumberFormat="1" applyFont="1" applyBorder="1" applyAlignment="1" applyProtection="1">
      <alignment horizontal="left"/>
    </xf>
    <xf numFmtId="49" fontId="82" fillId="0" borderId="3" xfId="0" applyNumberFormat="1" applyFont="1" applyBorder="1" applyAlignment="1" applyProtection="1">
      <alignment horizontal="left"/>
    </xf>
    <xf numFmtId="3" fontId="82" fillId="0" borderId="3" xfId="0" applyNumberFormat="1" applyFont="1" applyBorder="1" applyAlignment="1" applyProtection="1">
      <alignment horizontal="right"/>
    </xf>
    <xf numFmtId="188" fontId="82" fillId="0" borderId="3" xfId="0" applyNumberFormat="1" applyFont="1" applyBorder="1" applyAlignment="1" applyProtection="1">
      <alignment horizontal="right"/>
    </xf>
    <xf numFmtId="0" fontId="27" fillId="0" borderId="3" xfId="24" applyBorder="1" applyAlignment="1" applyProtection="1">
      <alignment horizontal="center"/>
    </xf>
    <xf numFmtId="2" fontId="27" fillId="0" borderId="3" xfId="24" applyNumberFormat="1" applyFill="1" applyBorder="1" applyAlignment="1" applyProtection="1">
      <alignment horizontal="center"/>
    </xf>
    <xf numFmtId="1" fontId="27" fillId="0" borderId="24" xfId="24" applyNumberFormat="1" applyBorder="1" applyProtection="1"/>
    <xf numFmtId="0" fontId="34" fillId="0" borderId="0" xfId="0" applyFont="1" applyProtection="1"/>
    <xf numFmtId="3" fontId="0" fillId="0" borderId="0" xfId="0" applyNumberFormat="1" applyProtection="1"/>
    <xf numFmtId="10" fontId="0" fillId="0" borderId="0" xfId="0" applyNumberFormat="1" applyProtection="1"/>
    <xf numFmtId="49" fontId="82" fillId="0" borderId="25" xfId="0" applyNumberFormat="1" applyFont="1" applyBorder="1" applyAlignment="1" applyProtection="1">
      <alignment horizontal="left"/>
    </xf>
    <xf numFmtId="49" fontId="82" fillId="0" borderId="26" xfId="0" applyNumberFormat="1" applyFont="1" applyBorder="1" applyAlignment="1" applyProtection="1">
      <alignment horizontal="left"/>
    </xf>
    <xf numFmtId="3" fontId="82" fillId="0" borderId="26" xfId="0" applyNumberFormat="1" applyFont="1" applyBorder="1" applyAlignment="1" applyProtection="1">
      <alignment horizontal="right"/>
    </xf>
    <xf numFmtId="188" fontId="82" fillId="0" borderId="26" xfId="0" applyNumberFormat="1" applyFont="1" applyBorder="1" applyAlignment="1" applyProtection="1">
      <alignment horizontal="right"/>
    </xf>
    <xf numFmtId="0" fontId="27" fillId="0" borderId="26" xfId="24" applyBorder="1" applyAlignment="1" applyProtection="1">
      <alignment horizontal="center"/>
    </xf>
    <xf numFmtId="1" fontId="27" fillId="0" borderId="27" xfId="24" applyNumberFormat="1" applyBorder="1" applyProtection="1"/>
    <xf numFmtId="0" fontId="117" fillId="8" borderId="21" xfId="24" applyFont="1" applyFill="1" applyBorder="1" applyProtection="1"/>
    <xf numFmtId="0" fontId="116" fillId="8" borderId="22" xfId="24" applyFont="1" applyFill="1" applyBorder="1" applyAlignment="1" applyProtection="1">
      <alignment horizontal="right"/>
    </xf>
    <xf numFmtId="0" fontId="117" fillId="8" borderId="23" xfId="24" applyFont="1" applyFill="1" applyBorder="1" applyProtection="1"/>
    <xf numFmtId="0" fontId="0" fillId="0" borderId="0" xfId="0" applyFont="1" applyProtection="1"/>
    <xf numFmtId="0" fontId="29" fillId="0" borderId="20" xfId="24" applyFont="1" applyBorder="1" applyProtection="1"/>
    <xf numFmtId="0" fontId="27" fillId="0" borderId="24" xfId="24" applyBorder="1" applyProtection="1"/>
    <xf numFmtId="174" fontId="27" fillId="0" borderId="3" xfId="23" applyNumberFormat="1" applyFont="1" applyFill="1" applyBorder="1" applyProtection="1"/>
    <xf numFmtId="174" fontId="27" fillId="0" borderId="24" xfId="23" applyNumberFormat="1" applyFont="1" applyFill="1" applyBorder="1" applyProtection="1"/>
    <xf numFmtId="0" fontId="34" fillId="0" borderId="20" xfId="0" applyFont="1" applyBorder="1" applyProtection="1"/>
    <xf numFmtId="174" fontId="49" fillId="0" borderId="24" xfId="23" applyNumberFormat="1" applyFont="1" applyFill="1" applyBorder="1" applyProtection="1"/>
    <xf numFmtId="0" fontId="34" fillId="0" borderId="25" xfId="0" applyFont="1" applyBorder="1" applyProtection="1"/>
    <xf numFmtId="174" fontId="27" fillId="0" borderId="26" xfId="23" applyNumberFormat="1" applyFont="1" applyFill="1" applyBorder="1" applyProtection="1"/>
    <xf numFmtId="174" fontId="49" fillId="0" borderId="27" xfId="23" applyNumberFormat="1" applyFont="1" applyFill="1" applyBorder="1" applyProtection="1"/>
    <xf numFmtId="9" fontId="0" fillId="0" borderId="0" xfId="0" applyNumberFormat="1" applyAlignment="1" applyProtection="1">
      <alignment horizontal="right"/>
    </xf>
    <xf numFmtId="180" fontId="0" fillId="0" borderId="0" xfId="0" applyNumberFormat="1" applyProtection="1"/>
    <xf numFmtId="174" fontId="1" fillId="0" borderId="0" xfId="23" applyNumberFormat="1" applyFont="1" applyProtection="1"/>
    <xf numFmtId="0" fontId="34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/>
    </xf>
    <xf numFmtId="1" fontId="32" fillId="0" borderId="15" xfId="22" applyNumberFormat="1" applyFont="1" applyFill="1" applyBorder="1" applyProtection="1"/>
    <xf numFmtId="1" fontId="32" fillId="0" borderId="13" xfId="22" applyNumberFormat="1" applyFont="1" applyFill="1" applyBorder="1" applyProtection="1"/>
    <xf numFmtId="1" fontId="72" fillId="0" borderId="13" xfId="22" applyNumberFormat="1" applyFont="1" applyFill="1" applyBorder="1" applyProtection="1"/>
    <xf numFmtId="1" fontId="32" fillId="0" borderId="13" xfId="22" applyNumberFormat="1" applyFill="1" applyBorder="1" applyProtection="1"/>
    <xf numFmtId="1" fontId="32" fillId="0" borderId="15" xfId="22" applyNumberFormat="1" applyFill="1" applyBorder="1" applyProtection="1"/>
    <xf numFmtId="0" fontId="0" fillId="0" borderId="13" xfId="0" applyBorder="1" applyProtection="1"/>
    <xf numFmtId="1" fontId="0" fillId="0" borderId="13" xfId="0" applyNumberFormat="1" applyBorder="1" applyProtection="1"/>
    <xf numFmtId="187" fontId="0" fillId="0" borderId="0" xfId="0" applyNumberFormat="1" applyProtection="1"/>
    <xf numFmtId="1" fontId="32" fillId="0" borderId="15" xfId="22" applyNumberFormat="1" applyFont="1" applyFill="1" applyBorder="1" applyAlignment="1" applyProtection="1">
      <alignment horizontal="right"/>
    </xf>
    <xf numFmtId="1" fontId="72" fillId="0" borderId="13" xfId="23" applyNumberFormat="1" applyFont="1" applyFill="1" applyBorder="1" applyProtection="1"/>
    <xf numFmtId="1" fontId="32" fillId="0" borderId="13" xfId="2" applyNumberFormat="1" applyFont="1" applyFill="1" applyBorder="1" applyProtection="1"/>
    <xf numFmtId="1" fontId="0" fillId="0" borderId="13" xfId="0" applyNumberFormat="1" applyFill="1" applyBorder="1" applyProtection="1"/>
    <xf numFmtId="0" fontId="0" fillId="0" borderId="13" xfId="0" applyFill="1" applyBorder="1" applyProtection="1"/>
    <xf numFmtId="3" fontId="0" fillId="0" borderId="0" xfId="0" applyNumberFormat="1" applyFill="1" applyProtection="1"/>
    <xf numFmtId="10" fontId="0" fillId="0" borderId="0" xfId="0" applyNumberFormat="1" applyFill="1" applyProtection="1"/>
    <xf numFmtId="0" fontId="0" fillId="0" borderId="0" xfId="0" applyFill="1" applyBorder="1" applyAlignment="1" applyProtection="1">
      <alignment horizontal="left"/>
    </xf>
    <xf numFmtId="3" fontId="0" fillId="0" borderId="0" xfId="0" applyNumberFormat="1" applyBorder="1" applyProtection="1"/>
    <xf numFmtId="0" fontId="0" fillId="0" borderId="0" xfId="0" applyFill="1" applyAlignment="1" applyProtection="1">
      <alignment horizontal="center"/>
    </xf>
    <xf numFmtId="191" fontId="0" fillId="0" borderId="0" xfId="0" applyNumberFormat="1" applyBorder="1" applyProtection="1"/>
    <xf numFmtId="191" fontId="0" fillId="0" borderId="0" xfId="0" applyNumberFormat="1" applyProtection="1"/>
    <xf numFmtId="1" fontId="0" fillId="0" borderId="0" xfId="0" applyNumberFormat="1" applyProtection="1"/>
    <xf numFmtId="0" fontId="34" fillId="0" borderId="0" xfId="0" applyFont="1" applyFill="1" applyBorder="1" applyProtection="1"/>
    <xf numFmtId="1" fontId="34" fillId="0" borderId="0" xfId="0" applyNumberFormat="1" applyFont="1" applyFill="1" applyBorder="1" applyProtection="1"/>
    <xf numFmtId="1" fontId="0" fillId="0" borderId="0" xfId="0" applyNumberFormat="1" applyFill="1" applyBorder="1" applyProtection="1"/>
    <xf numFmtId="0" fontId="0" fillId="0" borderId="0" xfId="0" applyFont="1" applyFill="1" applyProtection="1"/>
    <xf numFmtId="1" fontId="0" fillId="0" borderId="0" xfId="0" applyNumberFormat="1" applyFont="1" applyFill="1" applyProtection="1"/>
    <xf numFmtId="1" fontId="34" fillId="0" borderId="0" xfId="0" applyNumberFormat="1" applyFont="1" applyFill="1" applyProtection="1"/>
    <xf numFmtId="1" fontId="0" fillId="0" borderId="0" xfId="0" applyNumberFormat="1" applyFill="1" applyProtection="1"/>
    <xf numFmtId="0" fontId="0" fillId="0" borderId="0" xfId="0" applyFont="1" applyFill="1" applyBorder="1" applyProtection="1"/>
    <xf numFmtId="1" fontId="0" fillId="0" borderId="0" xfId="0" applyNumberFormat="1" applyFont="1" applyFill="1" applyBorder="1" applyProtection="1"/>
    <xf numFmtId="1" fontId="0" fillId="0" borderId="0" xfId="0" applyNumberFormat="1" applyFont="1" applyProtection="1"/>
    <xf numFmtId="1" fontId="34" fillId="0" borderId="0" xfId="0" applyNumberFormat="1" applyFont="1" applyProtection="1"/>
    <xf numFmtId="1" fontId="0" fillId="0" borderId="0" xfId="0" applyNumberFormat="1" applyFont="1" applyBorder="1" applyProtection="1"/>
    <xf numFmtId="1" fontId="34" fillId="0" borderId="0" xfId="0" applyNumberFormat="1" applyFont="1" applyBorder="1" applyProtection="1"/>
    <xf numFmtId="1" fontId="0" fillId="0" borderId="0" xfId="0" applyNumberFormat="1" applyBorder="1" applyProtection="1"/>
    <xf numFmtId="0" fontId="29" fillId="0" borderId="0" xfId="24" applyFont="1" applyAlignment="1" applyProtection="1">
      <alignment vertical="center"/>
    </xf>
    <xf numFmtId="0" fontId="73" fillId="0" borderId="0" xfId="24" applyFont="1" applyProtection="1"/>
    <xf numFmtId="0" fontId="27" fillId="0" borderId="0" xfId="24" applyFont="1" applyProtection="1"/>
    <xf numFmtId="0" fontId="29" fillId="0" borderId="0" xfId="24" applyFont="1" applyProtection="1"/>
    <xf numFmtId="0" fontId="27" fillId="0" borderId="0" xfId="24" applyProtection="1"/>
    <xf numFmtId="3" fontId="0" fillId="9" borderId="0" xfId="0" applyNumberFormat="1" applyFill="1" applyProtection="1"/>
    <xf numFmtId="10" fontId="0" fillId="9" borderId="0" xfId="0" applyNumberFormat="1" applyFill="1" applyProtection="1"/>
    <xf numFmtId="0" fontId="74" fillId="0" borderId="0" xfId="0" applyFont="1" applyFill="1" applyBorder="1" applyAlignment="1" applyProtection="1">
      <alignment horizontal="center" vertical="center" wrapText="1"/>
    </xf>
    <xf numFmtId="3" fontId="74" fillId="0" borderId="0" xfId="0" applyNumberFormat="1" applyFont="1" applyFill="1" applyBorder="1" applyAlignment="1" applyProtection="1">
      <alignment horizontal="center" vertical="center" wrapText="1"/>
    </xf>
    <xf numFmtId="3" fontId="74" fillId="0" borderId="0" xfId="24" applyNumberFormat="1" applyFont="1" applyFill="1" applyBorder="1" applyAlignment="1" applyProtection="1">
      <alignment horizontal="center" vertical="center" wrapText="1"/>
    </xf>
    <xf numFmtId="0" fontId="75" fillId="0" borderId="0" xfId="0" applyFont="1" applyFill="1" applyBorder="1" applyProtection="1"/>
    <xf numFmtId="3" fontId="75" fillId="0" borderId="0" xfId="0" applyNumberFormat="1" applyFont="1" applyFill="1" applyBorder="1" applyProtection="1"/>
    <xf numFmtId="0" fontId="76" fillId="0" borderId="0" xfId="24" applyFont="1" applyFill="1" applyBorder="1" applyProtection="1"/>
    <xf numFmtId="0" fontId="78" fillId="0" borderId="0" xfId="24" applyFont="1" applyFill="1" applyBorder="1" applyProtection="1"/>
    <xf numFmtId="174" fontId="0" fillId="0" borderId="0" xfId="23" applyNumberFormat="1" applyFont="1" applyProtection="1"/>
    <xf numFmtId="164" fontId="0" fillId="0" borderId="0" xfId="0" applyNumberFormat="1" applyProtection="1"/>
    <xf numFmtId="174" fontId="0" fillId="0" borderId="0" xfId="0" applyNumberFormat="1" applyProtection="1"/>
    <xf numFmtId="9" fontId="75" fillId="0" borderId="0" xfId="2" applyFont="1" applyFill="1" applyBorder="1" applyProtection="1"/>
    <xf numFmtId="174" fontId="78" fillId="0" borderId="0" xfId="23" applyNumberFormat="1" applyFont="1" applyFill="1" applyBorder="1" applyProtection="1"/>
    <xf numFmtId="0" fontId="77" fillId="0" borderId="0" xfId="0" applyFont="1" applyFill="1" applyBorder="1" applyProtection="1"/>
    <xf numFmtId="174" fontId="76" fillId="0" borderId="0" xfId="23" applyNumberFormat="1" applyFont="1" applyFill="1" applyBorder="1" applyProtection="1"/>
    <xf numFmtId="2" fontId="27" fillId="0" borderId="3" xfId="24" applyNumberFormat="1" applyFill="1" applyBorder="1" applyAlignment="1" applyProtection="1">
      <alignment horizontal="center" wrapText="1"/>
    </xf>
    <xf numFmtId="1" fontId="27" fillId="0" borderId="24" xfId="24" applyNumberFormat="1" applyBorder="1" applyAlignment="1" applyProtection="1">
      <alignment wrapText="1"/>
    </xf>
    <xf numFmtId="0" fontId="34" fillId="0" borderId="0" xfId="0" applyFont="1" applyAlignment="1" applyProtection="1">
      <alignment wrapText="1"/>
    </xf>
    <xf numFmtId="3" fontId="34" fillId="0" borderId="0" xfId="0" applyNumberFormat="1" applyFont="1" applyAlignment="1" applyProtection="1">
      <alignment wrapText="1"/>
    </xf>
    <xf numFmtId="3" fontId="27" fillId="6" borderId="3" xfId="24" applyNumberFormat="1" applyFill="1" applyBorder="1" applyProtection="1"/>
    <xf numFmtId="49" fontId="82" fillId="0" borderId="20" xfId="0" applyNumberFormat="1" applyFont="1" applyBorder="1" applyAlignment="1" applyProtection="1">
      <alignment horizontal="left" wrapText="1"/>
    </xf>
    <xf numFmtId="49" fontId="82" fillId="0" borderId="3" xfId="0" applyNumberFormat="1" applyFont="1" applyBorder="1" applyAlignment="1" applyProtection="1">
      <alignment horizontal="left" wrapText="1"/>
    </xf>
    <xf numFmtId="3" fontId="82" fillId="0" borderId="3" xfId="0" applyNumberFormat="1" applyFont="1" applyBorder="1" applyAlignment="1" applyProtection="1">
      <alignment horizontal="right" wrapText="1"/>
    </xf>
    <xf numFmtId="188" fontId="82" fillId="0" borderId="3" xfId="0" applyNumberFormat="1" applyFont="1" applyBorder="1" applyAlignment="1" applyProtection="1">
      <alignment horizontal="right" wrapText="1"/>
    </xf>
    <xf numFmtId="0" fontId="114" fillId="8" borderId="3" xfId="15" applyFont="1" applyFill="1" applyBorder="1" applyAlignment="1" applyProtection="1">
      <alignment horizontal="left" vertical="top" wrapText="1"/>
    </xf>
    <xf numFmtId="0" fontId="114" fillId="8" borderId="5" xfId="15" applyFont="1" applyFill="1" applyBorder="1" applyAlignment="1" applyProtection="1">
      <alignment horizontal="left" vertical="top" wrapText="1"/>
    </xf>
    <xf numFmtId="0" fontId="114" fillId="8" borderId="10" xfId="15" applyFont="1" applyFill="1" applyBorder="1" applyAlignment="1" applyProtection="1">
      <alignment horizontal="left" vertical="top" wrapText="1"/>
    </xf>
    <xf numFmtId="0" fontId="114" fillId="8" borderId="14" xfId="15" applyFont="1" applyFill="1" applyBorder="1" applyAlignment="1" applyProtection="1">
      <alignment horizontal="left" vertical="top" wrapText="1"/>
    </xf>
    <xf numFmtId="0" fontId="114" fillId="8" borderId="11" xfId="15" applyFont="1" applyFill="1" applyBorder="1" applyAlignment="1" applyProtection="1">
      <alignment horizontal="left" vertical="top" wrapText="1"/>
    </xf>
    <xf numFmtId="0" fontId="115" fillId="8" borderId="11" xfId="15" applyFont="1" applyFill="1" applyBorder="1" applyAlignment="1" applyProtection="1">
      <alignment horizontal="left" vertical="top" wrapText="1"/>
    </xf>
    <xf numFmtId="0" fontId="110" fillId="8" borderId="14" xfId="0" applyFont="1" applyFill="1" applyBorder="1" applyProtection="1"/>
    <xf numFmtId="0" fontId="114" fillId="8" borderId="3" xfId="15" applyFont="1" applyFill="1" applyBorder="1" applyProtection="1">
      <alignment horizontal="right" wrapText="1"/>
    </xf>
    <xf numFmtId="0" fontId="114" fillId="8" borderId="3" xfId="15" applyFont="1" applyFill="1" applyBorder="1" applyAlignment="1" applyProtection="1">
      <alignment horizontal="center" vertical="center" wrapText="1"/>
    </xf>
    <xf numFmtId="1" fontId="114" fillId="8" borderId="7" xfId="15" applyNumberFormat="1" applyFont="1" applyFill="1" applyBorder="1" applyProtection="1">
      <alignment horizontal="right" wrapText="1"/>
    </xf>
    <xf numFmtId="1" fontId="118" fillId="8" borderId="7" xfId="15" applyNumberFormat="1" applyFont="1" applyFill="1" applyBorder="1" applyProtection="1">
      <alignment horizontal="right" wrapText="1"/>
    </xf>
    <xf numFmtId="1" fontId="114" fillId="8" borderId="7" xfId="15" applyNumberFormat="1" applyFont="1" applyFill="1" applyBorder="1" applyAlignment="1" applyProtection="1">
      <alignment horizontal="center" wrapText="1"/>
    </xf>
    <xf numFmtId="0" fontId="34" fillId="0" borderId="3" xfId="0" applyFont="1" applyFill="1" applyBorder="1" applyProtection="1"/>
    <xf numFmtId="0" fontId="34" fillId="0" borderId="3" xfId="0" applyFont="1" applyFill="1" applyBorder="1" applyAlignment="1" applyProtection="1">
      <alignment horizontal="center"/>
    </xf>
    <xf numFmtId="1" fontId="32" fillId="0" borderId="3" xfId="22" applyNumberFormat="1" applyFont="1" applyFill="1" applyBorder="1" applyProtection="1"/>
    <xf numFmtId="1" fontId="32" fillId="0" borderId="3" xfId="23" applyNumberFormat="1" applyFont="1" applyFill="1" applyBorder="1" applyProtection="1"/>
    <xf numFmtId="1" fontId="72" fillId="0" borderId="3" xfId="23" applyNumberFormat="1" applyFont="1" applyFill="1" applyBorder="1" applyProtection="1"/>
    <xf numFmtId="1" fontId="0" fillId="0" borderId="3" xfId="0" applyNumberFormat="1" applyFill="1" applyBorder="1" applyProtection="1"/>
    <xf numFmtId="43" fontId="0" fillId="0" borderId="3" xfId="23" applyFont="1" applyFill="1" applyBorder="1" applyAlignment="1" applyProtection="1">
      <alignment horizontal="center"/>
    </xf>
    <xf numFmtId="1" fontId="0" fillId="0" borderId="3" xfId="0" applyNumberFormat="1" applyFill="1" applyBorder="1" applyAlignment="1" applyProtection="1">
      <alignment horizontal="center"/>
    </xf>
    <xf numFmtId="2" fontId="0" fillId="0" borderId="3" xfId="0" applyNumberFormat="1" applyFill="1" applyBorder="1" applyAlignment="1" applyProtection="1">
      <alignment horizontal="center"/>
    </xf>
    <xf numFmtId="1" fontId="32" fillId="0" borderId="3" xfId="22" applyNumberFormat="1" applyFont="1" applyFill="1" applyBorder="1" applyAlignment="1" applyProtection="1">
      <alignment horizontal="right"/>
    </xf>
    <xf numFmtId="164" fontId="32" fillId="0" borderId="3" xfId="22" applyNumberFormat="1" applyFont="1" applyFill="1" applyBorder="1" applyAlignment="1" applyProtection="1">
      <alignment horizontal="right"/>
    </xf>
    <xf numFmtId="164" fontId="32" fillId="0" borderId="3" xfId="22" applyNumberFormat="1" applyFont="1" applyFill="1" applyBorder="1" applyProtection="1"/>
    <xf numFmtId="8" fontId="0" fillId="0" borderId="0" xfId="0" applyNumberFormat="1" applyProtection="1"/>
    <xf numFmtId="1" fontId="40" fillId="0" borderId="3" xfId="0" applyNumberFormat="1" applyFont="1" applyFill="1" applyBorder="1" applyAlignment="1" applyProtection="1">
      <alignment horizontal="center"/>
    </xf>
    <xf numFmtId="2" fontId="34" fillId="0" borderId="3" xfId="0" applyNumberFormat="1" applyFont="1" applyFill="1" applyBorder="1" applyAlignment="1" applyProtection="1">
      <alignment horizontal="center"/>
    </xf>
    <xf numFmtId="1" fontId="40" fillId="0" borderId="3" xfId="15" quotePrefix="1" applyNumberFormat="1" applyFont="1" applyFill="1" applyBorder="1" applyProtection="1">
      <alignment horizontal="right" wrapText="1"/>
    </xf>
    <xf numFmtId="164" fontId="40" fillId="0" borderId="3" xfId="15" quotePrefix="1" applyNumberFormat="1" applyFont="1" applyFill="1" applyBorder="1" applyProtection="1">
      <alignment horizontal="right" wrapText="1"/>
    </xf>
    <xf numFmtId="1" fontId="40" fillId="0" borderId="3" xfId="23" quotePrefix="1" applyNumberFormat="1" applyFont="1" applyFill="1" applyBorder="1" applyAlignment="1" applyProtection="1">
      <alignment horizontal="right" wrapText="1"/>
    </xf>
    <xf numFmtId="1" fontId="40" fillId="0" borderId="3" xfId="0" applyNumberFormat="1" applyFont="1" applyFill="1" applyBorder="1" applyProtection="1"/>
    <xf numFmtId="1" fontId="40" fillId="0" borderId="3" xfId="0" applyNumberFormat="1" applyFont="1" applyBorder="1" applyProtection="1"/>
    <xf numFmtId="0" fontId="40" fillId="0" borderId="0" xfId="0" applyFont="1" applyProtection="1"/>
    <xf numFmtId="0" fontId="0" fillId="0" borderId="0" xfId="0" applyFont="1" applyAlignment="1" applyProtection="1">
      <alignment horizontal="right"/>
    </xf>
    <xf numFmtId="0" fontId="115" fillId="8" borderId="14" xfId="15" applyFont="1" applyFill="1" applyBorder="1" applyAlignment="1" applyProtection="1">
      <alignment horizontal="left" vertical="top" wrapText="1"/>
    </xf>
    <xf numFmtId="0" fontId="0" fillId="0" borderId="3" xfId="0" applyFill="1" applyBorder="1" applyAlignment="1" applyProtection="1">
      <alignment horizontal="center"/>
    </xf>
    <xf numFmtId="1" fontId="32" fillId="0" borderId="0" xfId="22" applyNumberFormat="1" applyFont="1" applyFill="1" applyBorder="1" applyProtection="1"/>
    <xf numFmtId="1" fontId="32" fillId="0" borderId="15" xfId="23" applyNumberFormat="1" applyFont="1" applyFill="1" applyBorder="1" applyProtection="1"/>
    <xf numFmtId="1" fontId="32" fillId="0" borderId="15" xfId="2" applyNumberFormat="1" applyFont="1" applyFill="1" applyBorder="1" applyProtection="1"/>
    <xf numFmtId="1" fontId="0" fillId="0" borderId="15" xfId="0" applyNumberFormat="1" applyBorder="1" applyProtection="1"/>
    <xf numFmtId="0" fontId="34" fillId="0" borderId="3" xfId="0" applyFont="1" applyBorder="1" applyProtection="1"/>
    <xf numFmtId="0" fontId="0" fillId="0" borderId="13" xfId="0" applyFont="1" applyBorder="1" applyProtection="1"/>
    <xf numFmtId="0" fontId="0" fillId="0" borderId="15" xfId="0" applyFont="1" applyBorder="1" applyProtection="1"/>
    <xf numFmtId="0" fontId="34" fillId="0" borderId="13" xfId="0" applyFont="1" applyBorder="1" applyProtection="1"/>
    <xf numFmtId="0" fontId="0" fillId="0" borderId="15" xfId="0" applyBorder="1" applyProtection="1"/>
    <xf numFmtId="1" fontId="72" fillId="0" borderId="3" xfId="22" applyNumberFormat="1" applyFont="1" applyFill="1" applyBorder="1" applyProtection="1"/>
    <xf numFmtId="1" fontId="32" fillId="0" borderId="3" xfId="22" applyNumberFormat="1" applyFill="1" applyBorder="1" applyAlignment="1" applyProtection="1">
      <alignment horizontal="right"/>
    </xf>
    <xf numFmtId="1" fontId="32" fillId="0" borderId="3" xfId="22" applyNumberFormat="1" applyFill="1" applyBorder="1" applyProtection="1"/>
    <xf numFmtId="0" fontId="0" fillId="0" borderId="3" xfId="0" applyNumberFormat="1" applyFill="1" applyBorder="1" applyProtection="1"/>
    <xf numFmtId="0" fontId="0" fillId="0" borderId="3" xfId="0" applyFill="1" applyBorder="1" applyAlignment="1" applyProtection="1">
      <alignment horizontal="left"/>
    </xf>
    <xf numFmtId="43" fontId="0" fillId="0" borderId="3" xfId="0" applyNumberFormat="1" applyFill="1" applyBorder="1" applyAlignment="1" applyProtection="1">
      <alignment horizontal="center"/>
    </xf>
    <xf numFmtId="1" fontId="32" fillId="0" borderId="3" xfId="2" applyNumberFormat="1" applyFont="1" applyFill="1" applyBorder="1" applyProtection="1"/>
    <xf numFmtId="43" fontId="0" fillId="0" borderId="0" xfId="0" applyNumberFormat="1" applyFill="1" applyBorder="1" applyAlignment="1" applyProtection="1">
      <alignment horizontal="center"/>
    </xf>
    <xf numFmtId="1" fontId="0" fillId="0" borderId="15" xfId="0" applyNumberFormat="1" applyFill="1" applyBorder="1" applyProtection="1"/>
    <xf numFmtId="0" fontId="109" fillId="8" borderId="3" xfId="0" applyFont="1" applyFill="1" applyBorder="1" applyProtection="1"/>
    <xf numFmtId="0" fontId="110" fillId="8" borderId="3" xfId="0" applyFont="1" applyFill="1" applyBorder="1" applyAlignment="1" applyProtection="1">
      <alignment horizontal="center"/>
    </xf>
    <xf numFmtId="1" fontId="110" fillId="8" borderId="3" xfId="22" applyNumberFormat="1" applyFont="1" applyFill="1" applyBorder="1" applyProtection="1"/>
    <xf numFmtId="1" fontId="110" fillId="8" borderId="3" xfId="23" applyNumberFormat="1" applyFont="1" applyFill="1" applyBorder="1" applyProtection="1"/>
    <xf numFmtId="1" fontId="109" fillId="8" borderId="3" xfId="23" applyNumberFormat="1" applyFont="1" applyFill="1" applyBorder="1" applyProtection="1"/>
    <xf numFmtId="1" fontId="110" fillId="8" borderId="3" xfId="2" applyNumberFormat="1" applyFont="1" applyFill="1" applyBorder="1" applyProtection="1"/>
    <xf numFmtId="1" fontId="110" fillId="8" borderId="3" xfId="0" applyNumberFormat="1" applyFont="1" applyFill="1" applyBorder="1" applyProtection="1"/>
    <xf numFmtId="0" fontId="110" fillId="8" borderId="3" xfId="0" applyFont="1" applyFill="1" applyBorder="1" applyProtection="1"/>
    <xf numFmtId="187" fontId="32" fillId="0" borderId="3" xfId="22" applyNumberFormat="1" applyFont="1" applyFill="1" applyBorder="1" applyAlignment="1" applyProtection="1">
      <alignment horizontal="right"/>
    </xf>
    <xf numFmtId="187" fontId="32" fillId="0" borderId="3" xfId="22" applyNumberFormat="1" applyFont="1" applyFill="1" applyBorder="1" applyProtection="1"/>
    <xf numFmtId="187" fontId="72" fillId="0" borderId="3" xfId="22" applyNumberFormat="1" applyFont="1" applyFill="1" applyBorder="1" applyProtection="1"/>
    <xf numFmtId="187" fontId="32" fillId="0" borderId="3" xfId="22" applyNumberFormat="1" applyFill="1" applyBorder="1" applyProtection="1"/>
    <xf numFmtId="187" fontId="32" fillId="0" borderId="0" xfId="22" applyNumberFormat="1" applyFill="1" applyBorder="1" applyProtection="1"/>
    <xf numFmtId="187" fontId="0" fillId="0" borderId="3" xfId="0" applyNumberFormat="1" applyFont="1" applyBorder="1" applyProtection="1"/>
    <xf numFmtId="192" fontId="0" fillId="0" borderId="0" xfId="0" applyNumberFormat="1" applyFont="1" applyProtection="1"/>
    <xf numFmtId="187" fontId="0" fillId="0" borderId="0" xfId="0" applyNumberFormat="1" applyFont="1" applyProtection="1"/>
    <xf numFmtId="3" fontId="93" fillId="0" borderId="21" xfId="24" applyNumberFormat="1" applyFont="1" applyBorder="1" applyAlignment="1" applyProtection="1">
      <alignment horizontal="left" vertical="top"/>
    </xf>
    <xf numFmtId="0" fontId="79" fillId="0" borderId="22" xfId="24" applyFont="1" applyBorder="1" applyProtection="1"/>
    <xf numFmtId="0" fontId="80" fillId="0" borderId="22" xfId="24" applyFont="1" applyBorder="1" applyAlignment="1" applyProtection="1">
      <alignment horizontal="center"/>
    </xf>
    <xf numFmtId="0" fontId="27" fillId="0" borderId="22" xfId="24" applyBorder="1" applyProtection="1"/>
    <xf numFmtId="0" fontId="27" fillId="0" borderId="22" xfId="24" applyBorder="1" applyAlignment="1" applyProtection="1">
      <alignment horizontal="center"/>
    </xf>
    <xf numFmtId="0" fontId="27" fillId="0" borderId="23" xfId="24" applyBorder="1" applyAlignment="1" applyProtection="1">
      <alignment horizontal="center"/>
    </xf>
    <xf numFmtId="3" fontId="93" fillId="0" borderId="20" xfId="24" applyNumberFormat="1" applyFont="1" applyBorder="1" applyAlignment="1" applyProtection="1">
      <alignment horizontal="right"/>
    </xf>
    <xf numFmtId="0" fontId="79" fillId="0" borderId="3" xfId="24" applyFont="1" applyBorder="1" applyProtection="1"/>
    <xf numFmtId="0" fontId="80" fillId="0" borderId="3" xfId="24" applyFont="1" applyBorder="1" applyAlignment="1" applyProtection="1">
      <alignment horizontal="center"/>
    </xf>
    <xf numFmtId="0" fontId="81" fillId="0" borderId="3" xfId="24" applyFont="1" applyFill="1" applyBorder="1" applyAlignment="1" applyProtection="1">
      <alignment horizontal="center"/>
    </xf>
    <xf numFmtId="0" fontId="27" fillId="0" borderId="3" xfId="24" applyBorder="1" applyProtection="1"/>
    <xf numFmtId="0" fontId="27" fillId="0" borderId="24" xfId="24" applyBorder="1" applyAlignment="1" applyProtection="1">
      <alignment horizontal="center"/>
    </xf>
    <xf numFmtId="0" fontId="116" fillId="8" borderId="20" xfId="0" applyFont="1" applyFill="1" applyBorder="1" applyAlignment="1" applyProtection="1">
      <alignment horizontal="center" wrapText="1"/>
    </xf>
    <xf numFmtId="0" fontId="116" fillId="8" borderId="3" xfId="0" applyFont="1" applyFill="1" applyBorder="1" applyAlignment="1" applyProtection="1">
      <alignment horizontal="center" wrapText="1"/>
    </xf>
    <xf numFmtId="0" fontId="116" fillId="8" borderId="3" xfId="24" applyFont="1" applyFill="1" applyBorder="1" applyAlignment="1" applyProtection="1">
      <alignment horizontal="right" wrapText="1"/>
    </xf>
    <xf numFmtId="0" fontId="117" fillId="8" borderId="3" xfId="24" applyFont="1" applyFill="1" applyBorder="1" applyProtection="1"/>
    <xf numFmtId="0" fontId="116" fillId="8" borderId="3" xfId="24" applyFont="1" applyFill="1" applyBorder="1" applyAlignment="1" applyProtection="1">
      <alignment horizontal="center" wrapText="1"/>
    </xf>
    <xf numFmtId="0" fontId="116" fillId="8" borderId="24" xfId="24" applyFont="1" applyFill="1" applyBorder="1" applyAlignment="1" applyProtection="1">
      <alignment wrapText="1"/>
    </xf>
    <xf numFmtId="174" fontId="0" fillId="0" borderId="3" xfId="23" applyNumberFormat="1" applyFont="1" applyBorder="1" applyAlignment="1" applyProtection="1">
      <alignment horizontal="right"/>
    </xf>
    <xf numFmtId="174" fontId="34" fillId="0" borderId="0" xfId="23" applyNumberFormat="1" applyFont="1" applyFill="1" applyBorder="1" applyProtection="1"/>
    <xf numFmtId="1" fontId="0" fillId="0" borderId="3" xfId="0" applyNumberFormat="1" applyBorder="1" applyAlignment="1" applyProtection="1">
      <alignment horizontal="right"/>
    </xf>
    <xf numFmtId="174" fontId="0" fillId="0" borderId="0" xfId="23" applyNumberFormat="1" applyFont="1" applyFill="1" applyBorder="1" applyProtection="1"/>
    <xf numFmtId="191" fontId="0" fillId="0" borderId="3" xfId="0" applyNumberFormat="1" applyBorder="1" applyAlignment="1" applyProtection="1">
      <alignment horizontal="right"/>
    </xf>
    <xf numFmtId="0" fontId="0" fillId="0" borderId="25" xfId="0" applyBorder="1" applyProtection="1"/>
    <xf numFmtId="0" fontId="0" fillId="0" borderId="20" xfId="0" applyBorder="1" applyProtection="1"/>
    <xf numFmtId="0" fontId="0" fillId="0" borderId="24" xfId="0" applyBorder="1" applyProtection="1"/>
    <xf numFmtId="178" fontId="0" fillId="0" borderId="3" xfId="0" applyNumberFormat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center"/>
    </xf>
    <xf numFmtId="165" fontId="0" fillId="0" borderId="3" xfId="0" applyNumberFormat="1" applyFont="1" applyBorder="1" applyProtection="1"/>
    <xf numFmtId="165" fontId="0" fillId="0" borderId="0" xfId="0" applyNumberFormat="1" applyFont="1" applyBorder="1" applyProtection="1"/>
    <xf numFmtId="183" fontId="0" fillId="0" borderId="0" xfId="0" applyNumberFormat="1" applyFont="1" applyBorder="1" applyProtection="1"/>
    <xf numFmtId="9" fontId="0" fillId="0" borderId="3" xfId="0" applyNumberFormat="1" applyBorder="1" applyProtection="1"/>
    <xf numFmtId="9" fontId="1" fillId="0" borderId="0" xfId="2" applyFont="1" applyBorder="1" applyProtection="1"/>
    <xf numFmtId="9" fontId="0" fillId="0" borderId="0" xfId="0" applyNumberFormat="1" applyFont="1" applyBorder="1" applyProtection="1"/>
    <xf numFmtId="174" fontId="34" fillId="0" borderId="3" xfId="23" applyNumberFormat="1" applyFont="1" applyFill="1" applyBorder="1" applyProtection="1"/>
    <xf numFmtId="174" fontId="34" fillId="0" borderId="3" xfId="0" applyNumberFormat="1" applyFont="1" applyBorder="1" applyProtection="1"/>
    <xf numFmtId="0" fontId="110" fillId="8" borderId="3" xfId="0" applyFont="1" applyFill="1" applyBorder="1" applyAlignment="1" applyProtection="1">
      <alignment horizontal="right"/>
    </xf>
    <xf numFmtId="166" fontId="93" fillId="0" borderId="0" xfId="14" applyFont="1" applyProtection="1"/>
    <xf numFmtId="166" fontId="14" fillId="0" borderId="3" xfId="14" applyFont="1" applyBorder="1" applyProtection="1"/>
    <xf numFmtId="166" fontId="14" fillId="0" borderId="0" xfId="14" applyFont="1" applyProtection="1"/>
    <xf numFmtId="166" fontId="84" fillId="0" borderId="0" xfId="14" applyFont="1" applyBorder="1" applyProtection="1"/>
    <xf numFmtId="0" fontId="109" fillId="0" borderId="0" xfId="0" applyFont="1" applyFill="1" applyBorder="1" applyProtection="1"/>
    <xf numFmtId="0" fontId="109" fillId="0" borderId="0" xfId="0" applyFont="1" applyFill="1" applyBorder="1" applyAlignment="1" applyProtection="1">
      <alignment horizontal="center"/>
    </xf>
    <xf numFmtId="0" fontId="109" fillId="8" borderId="3" xfId="0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17" xfId="0" applyFont="1" applyFill="1" applyBorder="1" applyAlignment="1" applyProtection="1">
      <alignment horizontal="right"/>
    </xf>
    <xf numFmtId="9" fontId="1" fillId="0" borderId="0" xfId="2" applyFont="1" applyBorder="1" applyAlignment="1" applyProtection="1">
      <alignment horizontal="right"/>
    </xf>
    <xf numFmtId="1" fontId="0" fillId="3" borderId="3" xfId="0" applyNumberFormat="1" applyFont="1" applyFill="1" applyBorder="1" applyProtection="1">
      <protection locked="0"/>
    </xf>
    <xf numFmtId="4" fontId="0" fillId="3" borderId="3" xfId="0" applyNumberFormat="1" applyFont="1" applyFill="1" applyBorder="1" applyProtection="1">
      <protection locked="0"/>
    </xf>
    <xf numFmtId="166" fontId="31" fillId="0" borderId="0" xfId="21" applyFont="1" applyProtection="1">
      <alignment horizontal="left" vertical="top"/>
    </xf>
    <xf numFmtId="0" fontId="0" fillId="0" borderId="0" xfId="0" applyAlignment="1" applyProtection="1"/>
    <xf numFmtId="174" fontId="88" fillId="0" borderId="0" xfId="23" applyNumberFormat="1" applyFont="1" applyProtection="1"/>
    <xf numFmtId="0" fontId="91" fillId="0" borderId="0" xfId="0" applyFont="1" applyFill="1" applyAlignment="1" applyProtection="1">
      <alignment vertical="top"/>
    </xf>
    <xf numFmtId="0" fontId="90" fillId="0" borderId="0" xfId="0" applyFont="1" applyAlignment="1" applyProtection="1">
      <alignment vertical="top" wrapText="1"/>
    </xf>
    <xf numFmtId="0" fontId="90" fillId="0" borderId="0" xfId="0" applyFont="1" applyAlignment="1" applyProtection="1">
      <alignment vertical="top"/>
    </xf>
    <xf numFmtId="190" fontId="90" fillId="0" borderId="0" xfId="23" applyNumberFormat="1" applyFont="1" applyAlignment="1" applyProtection="1">
      <alignment vertical="top"/>
    </xf>
    <xf numFmtId="190" fontId="90" fillId="0" borderId="0" xfId="23" applyNumberFormat="1" applyFont="1" applyAlignment="1" applyProtection="1">
      <alignment horizontal="right" vertical="top"/>
    </xf>
    <xf numFmtId="0" fontId="91" fillId="0" borderId="0" xfId="0" applyFont="1" applyAlignment="1" applyProtection="1">
      <alignment vertical="top" wrapText="1"/>
    </xf>
    <xf numFmtId="0" fontId="91" fillId="0" borderId="0" xfId="0" applyFont="1" applyAlignment="1" applyProtection="1">
      <alignment vertical="top"/>
    </xf>
    <xf numFmtId="190" fontId="91" fillId="0" borderId="0" xfId="23" applyNumberFormat="1" applyFont="1" applyAlignment="1" applyProtection="1">
      <alignment vertical="top"/>
    </xf>
    <xf numFmtId="3" fontId="45" fillId="0" borderId="3" xfId="8" quotePrefix="1" applyNumberFormat="1" applyFont="1" applyFill="1" applyBorder="1" applyProtection="1">
      <alignment horizontal="right" vertical="top"/>
    </xf>
    <xf numFmtId="3" fontId="45" fillId="0" borderId="3" xfId="8" quotePrefix="1" applyNumberFormat="1" applyFont="1" applyFill="1" applyBorder="1" applyAlignment="1" applyProtection="1">
      <alignment horizontal="right" vertical="top"/>
    </xf>
    <xf numFmtId="0" fontId="45" fillId="0" borderId="3" xfId="6" applyFont="1" applyFill="1" applyBorder="1" applyProtection="1">
      <alignment horizontal="left" vertical="top" wrapText="1"/>
    </xf>
    <xf numFmtId="3" fontId="34" fillId="0" borderId="3" xfId="23" applyNumberFormat="1" applyFont="1" applyFill="1" applyBorder="1" applyProtection="1"/>
    <xf numFmtId="3" fontId="0" fillId="0" borderId="3" xfId="23" applyNumberFormat="1" applyFont="1" applyFill="1" applyBorder="1" applyProtection="1"/>
    <xf numFmtId="0" fontId="28" fillId="0" borderId="0" xfId="0" applyFont="1" applyProtection="1"/>
    <xf numFmtId="174" fontId="0" fillId="0" borderId="3" xfId="23" applyNumberFormat="1" applyFont="1" applyFill="1" applyBorder="1" applyProtection="1"/>
    <xf numFmtId="3" fontId="34" fillId="0" borderId="3" xfId="23" applyNumberFormat="1" applyFont="1" applyFill="1" applyBorder="1" applyAlignment="1" applyProtection="1"/>
    <xf numFmtId="173" fontId="0" fillId="0" borderId="3" xfId="2" applyNumberFormat="1" applyFont="1" applyBorder="1" applyProtection="1"/>
    <xf numFmtId="3" fontId="0" fillId="0" borderId="3" xfId="2" applyNumberFormat="1" applyFont="1" applyBorder="1" applyProtection="1"/>
    <xf numFmtId="3" fontId="0" fillId="0" borderId="3" xfId="2" applyNumberFormat="1" applyFont="1" applyBorder="1" applyAlignment="1" applyProtection="1"/>
    <xf numFmtId="166" fontId="61" fillId="0" borderId="3" xfId="17" applyFont="1" applyBorder="1" applyAlignment="1" applyProtection="1">
      <alignment horizontal="left" wrapText="1"/>
    </xf>
    <xf numFmtId="166" fontId="43" fillId="0" borderId="3" xfId="17" applyFont="1" applyBorder="1" applyAlignment="1" applyProtection="1">
      <alignment horizontal="left" wrapText="1"/>
    </xf>
    <xf numFmtId="3" fontId="43" fillId="0" borderId="3" xfId="17" applyNumberFormat="1" applyFont="1" applyBorder="1" applyAlignment="1" applyProtection="1">
      <alignment horizontal="left" wrapText="1"/>
    </xf>
    <xf numFmtId="3" fontId="43" fillId="0" borderId="3" xfId="17" applyNumberFormat="1" applyFont="1" applyBorder="1" applyAlignment="1" applyProtection="1">
      <alignment horizontal="left"/>
    </xf>
    <xf numFmtId="174" fontId="1" fillId="0" borderId="3" xfId="23" applyNumberFormat="1" applyFont="1" applyFill="1" applyBorder="1" applyProtection="1"/>
    <xf numFmtId="3" fontId="1" fillId="0" borderId="3" xfId="23" applyNumberFormat="1" applyFont="1" applyFill="1" applyBorder="1" applyProtection="1"/>
    <xf numFmtId="3" fontId="0" fillId="0" borderId="3" xfId="23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3" xfId="23" applyNumberFormat="1" applyFont="1" applyBorder="1" applyProtection="1"/>
    <xf numFmtId="3" fontId="34" fillId="4" borderId="3" xfId="23" applyNumberFormat="1" applyFont="1" applyFill="1" applyBorder="1" applyProtection="1"/>
    <xf numFmtId="3" fontId="0" fillId="0" borderId="3" xfId="2" applyNumberFormat="1" applyFont="1" applyFill="1" applyBorder="1" applyProtection="1"/>
    <xf numFmtId="1" fontId="43" fillId="0" borderId="3" xfId="17" applyNumberFormat="1" applyFont="1" applyBorder="1" applyAlignment="1" applyProtection="1">
      <alignment horizontal="left" wrapText="1"/>
    </xf>
    <xf numFmtId="43" fontId="0" fillId="0" borderId="3" xfId="23" applyNumberFormat="1" applyFont="1" applyFill="1" applyBorder="1" applyProtection="1"/>
    <xf numFmtId="0" fontId="0" fillId="0" borderId="3" xfId="0" applyFont="1" applyFill="1" applyBorder="1" applyProtection="1"/>
    <xf numFmtId="1" fontId="0" fillId="0" borderId="3" xfId="0" applyNumberFormat="1" applyFont="1" applyBorder="1" applyProtection="1"/>
    <xf numFmtId="0" fontId="62" fillId="0" borderId="3" xfId="0" applyFont="1" applyBorder="1" applyProtection="1"/>
    <xf numFmtId="43" fontId="0" fillId="0" borderId="3" xfId="23" applyNumberFormat="1" applyFont="1" applyBorder="1" applyProtection="1"/>
    <xf numFmtId="4" fontId="0" fillId="0" borderId="3" xfId="23" applyNumberFormat="1" applyFont="1" applyBorder="1" applyProtection="1"/>
    <xf numFmtId="4" fontId="0" fillId="0" borderId="3" xfId="23" applyNumberFormat="1" applyFont="1" applyBorder="1" applyAlignment="1" applyProtection="1"/>
    <xf numFmtId="1" fontId="34" fillId="0" borderId="3" xfId="0" applyNumberFormat="1" applyFont="1" applyBorder="1" applyProtection="1"/>
    <xf numFmtId="166" fontId="14" fillId="0" borderId="0" xfId="14" applyFont="1" applyBorder="1" applyProtection="1"/>
    <xf numFmtId="166" fontId="114" fillId="8" borderId="3" xfId="17" applyFont="1" applyFill="1" applyBorder="1" applyAlignment="1" applyProtection="1">
      <alignment horizontal="left" wrapText="1"/>
    </xf>
    <xf numFmtId="166" fontId="114" fillId="8" borderId="3" xfId="17" applyFont="1" applyFill="1" applyBorder="1" applyAlignment="1" applyProtection="1">
      <alignment horizontal="left"/>
    </xf>
    <xf numFmtId="1" fontId="26" fillId="0" borderId="3" xfId="17" applyNumberFormat="1" applyFont="1" applyBorder="1" applyAlignment="1" applyProtection="1">
      <alignment horizontal="left" wrapText="1"/>
    </xf>
    <xf numFmtId="1" fontId="26" fillId="0" borderId="3" xfId="17" applyNumberFormat="1" applyFont="1" applyBorder="1" applyAlignment="1" applyProtection="1">
      <alignment horizontal="left"/>
    </xf>
    <xf numFmtId="188" fontId="34" fillId="0" borderId="3" xfId="0" applyNumberFormat="1" applyFont="1" applyBorder="1" applyProtection="1"/>
    <xf numFmtId="188" fontId="34" fillId="0" borderId="3" xfId="0" applyNumberFormat="1" applyFont="1" applyBorder="1" applyAlignment="1" applyProtection="1"/>
    <xf numFmtId="1" fontId="34" fillId="0" borderId="3" xfId="23" applyNumberFormat="1" applyFont="1" applyBorder="1" applyAlignment="1" applyProtection="1">
      <alignment horizontal="right"/>
    </xf>
    <xf numFmtId="182" fontId="0" fillId="3" borderId="3" xfId="0" applyNumberFormat="1" applyFill="1" applyBorder="1" applyAlignment="1" applyProtection="1">
      <alignment horizontal="center"/>
      <protection locked="0"/>
    </xf>
    <xf numFmtId="9" fontId="0" fillId="3" borderId="3" xfId="0" applyNumberFormat="1" applyFill="1" applyBorder="1" applyProtection="1">
      <protection locked="0"/>
    </xf>
    <xf numFmtId="0" fontId="34" fillId="0" borderId="25" xfId="0" applyFont="1" applyFill="1" applyBorder="1" applyAlignment="1" applyProtection="1">
      <alignment horizontal="left"/>
    </xf>
    <xf numFmtId="0" fontId="34" fillId="0" borderId="0" xfId="0" applyFont="1" applyFill="1" applyBorder="1" applyAlignment="1" applyProtection="1">
      <alignment horizontal="left"/>
    </xf>
    <xf numFmtId="182" fontId="39" fillId="0" borderId="0" xfId="0" applyNumberFormat="1" applyFont="1" applyFill="1" applyBorder="1" applyProtection="1"/>
    <xf numFmtId="9" fontId="1" fillId="0" borderId="0" xfId="2" applyFont="1" applyFill="1" applyBorder="1" applyProtection="1"/>
    <xf numFmtId="176" fontId="0" fillId="0" borderId="0" xfId="0" applyNumberFormat="1" applyFont="1" applyFill="1" applyBorder="1" applyProtection="1"/>
    <xf numFmtId="2" fontId="0" fillId="4" borderId="0" xfId="0" applyNumberFormat="1" applyFont="1" applyFill="1" applyBorder="1" applyProtection="1"/>
    <xf numFmtId="175" fontId="0" fillId="0" borderId="0" xfId="0" applyNumberFormat="1" applyFont="1" applyFill="1" applyBorder="1" applyProtection="1"/>
    <xf numFmtId="182" fontId="0" fillId="0" borderId="0" xfId="0" applyNumberFormat="1" applyFont="1" applyBorder="1" applyProtection="1"/>
    <xf numFmtId="182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182" fontId="0" fillId="4" borderId="0" xfId="0" applyNumberFormat="1" applyFont="1" applyFill="1" applyBorder="1" applyProtection="1"/>
    <xf numFmtId="0" fontId="48" fillId="0" borderId="0" xfId="0" applyFont="1" applyBorder="1" applyProtection="1"/>
    <xf numFmtId="0" fontId="39" fillId="0" borderId="0" xfId="0" applyFont="1" applyBorder="1" applyProtection="1"/>
    <xf numFmtId="175" fontId="39" fillId="0" borderId="0" xfId="0" applyNumberFormat="1" applyFont="1" applyFill="1" applyBorder="1" applyProtection="1"/>
    <xf numFmtId="175" fontId="48" fillId="0" borderId="0" xfId="0" applyNumberFormat="1" applyFont="1" applyFill="1" applyBorder="1" applyProtection="1"/>
    <xf numFmtId="0" fontId="0" fillId="0" borderId="20" xfId="0" applyFont="1" applyBorder="1" applyAlignment="1" applyProtection="1">
      <alignment horizontal="left"/>
    </xf>
    <xf numFmtId="182" fontId="39" fillId="0" borderId="3" xfId="0" applyNumberFormat="1" applyFont="1" applyBorder="1" applyProtection="1"/>
    <xf numFmtId="0" fontId="48" fillId="0" borderId="20" xfId="0" applyFont="1" applyBorder="1" applyProtection="1"/>
    <xf numFmtId="182" fontId="48" fillId="0" borderId="3" xfId="0" applyNumberFormat="1" applyFont="1" applyBorder="1" applyProtection="1"/>
    <xf numFmtId="182" fontId="0" fillId="0" borderId="3" xfId="0" applyNumberFormat="1" applyBorder="1" applyProtection="1"/>
    <xf numFmtId="182" fontId="0" fillId="0" borderId="3" xfId="0" applyNumberFormat="1" applyFont="1" applyBorder="1" applyProtection="1"/>
    <xf numFmtId="0" fontId="0" fillId="0" borderId="20" xfId="0" quotePrefix="1" applyFont="1" applyBorder="1" applyAlignment="1" applyProtection="1">
      <alignment horizontal="left"/>
    </xf>
    <xf numFmtId="0" fontId="34" fillId="0" borderId="20" xfId="0" applyFont="1" applyBorder="1" applyAlignment="1" applyProtection="1">
      <alignment horizontal="left" indent="19"/>
    </xf>
    <xf numFmtId="164" fontId="34" fillId="0" borderId="3" xfId="0" applyNumberFormat="1" applyFont="1" applyBorder="1" applyProtection="1"/>
    <xf numFmtId="0" fontId="0" fillId="0" borderId="20" xfId="0" applyBorder="1" applyAlignment="1" applyProtection="1">
      <alignment horizontal="left" vertical="top" indent="19"/>
    </xf>
    <xf numFmtId="0" fontId="0" fillId="0" borderId="20" xfId="0" applyBorder="1" applyAlignment="1" applyProtection="1">
      <alignment horizontal="left" vertical="top"/>
    </xf>
    <xf numFmtId="182" fontId="0" fillId="0" borderId="27" xfId="0" applyNumberFormat="1" applyBorder="1" applyProtection="1"/>
    <xf numFmtId="0" fontId="113" fillId="8" borderId="21" xfId="0" applyFont="1" applyFill="1" applyBorder="1" applyProtection="1"/>
    <xf numFmtId="0" fontId="113" fillId="8" borderId="22" xfId="0" applyFont="1" applyFill="1" applyBorder="1" applyAlignment="1" applyProtection="1">
      <alignment horizontal="right"/>
    </xf>
    <xf numFmtId="0" fontId="113" fillId="8" borderId="22" xfId="0" applyFont="1" applyFill="1" applyBorder="1" applyAlignment="1" applyProtection="1">
      <alignment horizontal="center"/>
    </xf>
    <xf numFmtId="0" fontId="110" fillId="8" borderId="0" xfId="0" applyFont="1" applyFill="1" applyBorder="1" applyProtection="1"/>
    <xf numFmtId="182" fontId="0" fillId="0" borderId="24" xfId="0" applyNumberFormat="1" applyBorder="1" applyProtection="1"/>
    <xf numFmtId="182" fontId="0" fillId="0" borderId="26" xfId="0" applyNumberFormat="1" applyFill="1" applyBorder="1" applyAlignment="1" applyProtection="1">
      <alignment horizontal="center"/>
    </xf>
    <xf numFmtId="0" fontId="113" fillId="8" borderId="22" xfId="0" applyFont="1" applyFill="1" applyBorder="1" applyProtection="1"/>
    <xf numFmtId="0" fontId="113" fillId="8" borderId="23" xfId="0" applyFont="1" applyFill="1" applyBorder="1" applyProtection="1"/>
    <xf numFmtId="0" fontId="38" fillId="0" borderId="3" xfId="0" applyFont="1" applyBorder="1" applyProtection="1"/>
    <xf numFmtId="182" fontId="48" fillId="0" borderId="26" xfId="0" applyNumberFormat="1" applyFont="1" applyFill="1" applyBorder="1" applyProtection="1"/>
    <xf numFmtId="9" fontId="33" fillId="3" borderId="3" xfId="2" applyFont="1" applyFill="1" applyBorder="1" applyProtection="1">
      <protection locked="0"/>
    </xf>
    <xf numFmtId="1" fontId="33" fillId="3" borderId="3" xfId="2" applyNumberFormat="1" applyFont="1" applyFill="1" applyBorder="1" applyProtection="1">
      <protection locked="0"/>
    </xf>
    <xf numFmtId="9" fontId="33" fillId="3" borderId="3" xfId="0" applyNumberFormat="1" applyFont="1" applyFill="1" applyBorder="1" applyProtection="1">
      <protection locked="0"/>
    </xf>
    <xf numFmtId="0" fontId="33" fillId="3" borderId="3" xfId="0" applyFont="1" applyFill="1" applyBorder="1" applyProtection="1">
      <protection locked="0"/>
    </xf>
    <xf numFmtId="187" fontId="0" fillId="3" borderId="0" xfId="0" applyNumberFormat="1" applyFill="1" applyProtection="1">
      <protection locked="0"/>
    </xf>
    <xf numFmtId="9" fontId="0" fillId="0" borderId="0" xfId="2" applyFont="1" applyFill="1" applyBorder="1" applyProtection="1"/>
    <xf numFmtId="182" fontId="0" fillId="0" borderId="0" xfId="0" applyNumberFormat="1" applyFill="1" applyBorder="1" applyProtection="1"/>
    <xf numFmtId="187" fontId="0" fillId="0" borderId="0" xfId="0" applyNumberFormat="1" applyFill="1" applyProtection="1"/>
    <xf numFmtId="0" fontId="0" fillId="0" borderId="0" xfId="0" applyAlignment="1" applyProtection="1">
      <alignment horizontal="center" vertical="center"/>
    </xf>
    <xf numFmtId="0" fontId="45" fillId="0" borderId="25" xfId="6" applyFont="1" applyFill="1" applyBorder="1" applyProtection="1">
      <alignment horizontal="left" vertical="top" wrapText="1"/>
    </xf>
    <xf numFmtId="0" fontId="47" fillId="0" borderId="26" xfId="6" applyFont="1" applyFill="1" applyBorder="1" applyProtection="1">
      <alignment horizontal="left" vertical="top" wrapText="1"/>
    </xf>
    <xf numFmtId="182" fontId="44" fillId="0" borderId="26" xfId="8" quotePrefix="1" applyNumberFormat="1" applyFont="1" applyFill="1" applyBorder="1" applyProtection="1">
      <alignment horizontal="right" vertical="top"/>
    </xf>
    <xf numFmtId="182" fontId="44" fillId="0" borderId="27" xfId="8" quotePrefix="1" applyNumberFormat="1" applyFont="1" applyFill="1" applyBorder="1" applyProtection="1">
      <alignment horizontal="right" vertical="top"/>
    </xf>
    <xf numFmtId="0" fontId="29" fillId="0" borderId="0" xfId="0" applyFont="1" applyProtection="1"/>
    <xf numFmtId="0" fontId="46" fillId="0" borderId="0" xfId="6" applyFont="1" applyFill="1" applyBorder="1" applyProtection="1">
      <alignment horizontal="left" vertical="top" wrapText="1"/>
    </xf>
    <xf numFmtId="0" fontId="104" fillId="0" borderId="0" xfId="6" applyFont="1" applyFill="1" applyBorder="1" applyProtection="1">
      <alignment horizontal="left" vertical="top" wrapText="1"/>
    </xf>
    <xf numFmtId="182" fontId="105" fillId="0" borderId="0" xfId="8" quotePrefix="1" applyNumberFormat="1" applyFont="1" applyFill="1" applyBorder="1" applyProtection="1">
      <alignment horizontal="right" vertical="top"/>
    </xf>
    <xf numFmtId="181" fontId="106" fillId="0" borderId="0" xfId="0" applyNumberFormat="1" applyFont="1" applyFill="1" applyBorder="1" applyAlignment="1" applyProtection="1">
      <alignment horizontal="right"/>
    </xf>
    <xf numFmtId="0" fontId="45" fillId="0" borderId="0" xfId="6" applyFont="1" applyFill="1" applyBorder="1" applyProtection="1">
      <alignment horizontal="left" vertical="top" wrapText="1"/>
    </xf>
    <xf numFmtId="0" fontId="47" fillId="0" borderId="0" xfId="6" applyFont="1" applyFill="1" applyBorder="1" applyProtection="1">
      <alignment horizontal="left" vertical="top" wrapText="1"/>
    </xf>
    <xf numFmtId="182" fontId="44" fillId="0" borderId="0" xfId="8" quotePrefix="1" applyNumberFormat="1" applyFont="1" applyFill="1" applyBorder="1" applyProtection="1">
      <alignment horizontal="right" vertical="top"/>
    </xf>
    <xf numFmtId="2" fontId="0" fillId="0" borderId="0" xfId="0" applyNumberFormat="1" applyFill="1" applyBorder="1" applyProtection="1"/>
    <xf numFmtId="0" fontId="29" fillId="0" borderId="0" xfId="0" applyFont="1" applyBorder="1" applyProtection="1"/>
    <xf numFmtId="0" fontId="28" fillId="0" borderId="0" xfId="0" applyFont="1" applyBorder="1" applyProtection="1"/>
    <xf numFmtId="166" fontId="119" fillId="8" borderId="21" xfId="17" applyFont="1" applyFill="1" applyBorder="1" applyAlignment="1" applyProtection="1">
      <alignment horizontal="left" wrapText="1"/>
    </xf>
    <xf numFmtId="0" fontId="110" fillId="8" borderId="30" xfId="0" applyFont="1" applyFill="1" applyBorder="1" applyProtection="1"/>
    <xf numFmtId="166" fontId="113" fillId="8" borderId="31" xfId="17" applyFont="1" applyFill="1" applyBorder="1" applyAlignment="1" applyProtection="1">
      <alignment horizontal="left"/>
    </xf>
    <xf numFmtId="0" fontId="110" fillId="8" borderId="31" xfId="0" applyFont="1" applyFill="1" applyBorder="1" applyAlignment="1" applyProtection="1">
      <alignment horizontal="left"/>
    </xf>
    <xf numFmtId="0" fontId="110" fillId="8" borderId="32" xfId="0" applyFont="1" applyFill="1" applyBorder="1" applyAlignment="1" applyProtection="1">
      <alignment horizontal="left"/>
    </xf>
    <xf numFmtId="0" fontId="110" fillId="8" borderId="31" xfId="0" applyFont="1" applyFill="1" applyBorder="1" applyProtection="1"/>
    <xf numFmtId="2" fontId="110" fillId="8" borderId="32" xfId="0" applyNumberFormat="1" applyFont="1" applyFill="1" applyBorder="1" applyProtection="1"/>
    <xf numFmtId="166" fontId="113" fillId="8" borderId="22" xfId="17" applyFont="1" applyFill="1" applyBorder="1" applyAlignment="1" applyProtection="1">
      <alignment horizontal="right"/>
    </xf>
    <xf numFmtId="0" fontId="110" fillId="8" borderId="22" xfId="0" applyFont="1" applyFill="1" applyBorder="1" applyProtection="1"/>
    <xf numFmtId="0" fontId="110" fillId="8" borderId="23" xfId="0" applyFont="1" applyFill="1" applyBorder="1" applyProtection="1"/>
    <xf numFmtId="166" fontId="119" fillId="8" borderId="20" xfId="17" applyFont="1" applyFill="1" applyBorder="1" applyAlignment="1" applyProtection="1">
      <alignment horizontal="left" wrapText="1"/>
    </xf>
    <xf numFmtId="1" fontId="113" fillId="8" borderId="7" xfId="17" applyNumberFormat="1" applyFont="1" applyFill="1" applyBorder="1" applyAlignment="1" applyProtection="1">
      <alignment horizontal="left" wrapText="1"/>
    </xf>
    <xf numFmtId="2" fontId="110" fillId="8" borderId="3" xfId="0" applyNumberFormat="1" applyFont="1" applyFill="1" applyBorder="1" applyProtection="1"/>
    <xf numFmtId="0" fontId="110" fillId="8" borderId="24" xfId="0" applyFont="1" applyFill="1" applyBorder="1" applyProtection="1"/>
    <xf numFmtId="0" fontId="0" fillId="0" borderId="20" xfId="0" applyFont="1" applyBorder="1" applyProtection="1"/>
    <xf numFmtId="2" fontId="0" fillId="0" borderId="3" xfId="2" applyNumberFormat="1" applyFont="1" applyFill="1" applyBorder="1" applyProtection="1"/>
    <xf numFmtId="2" fontId="46" fillId="0" borderId="3" xfId="0" applyNumberFormat="1" applyFont="1" applyFill="1" applyBorder="1" applyProtection="1"/>
    <xf numFmtId="0" fontId="45" fillId="0" borderId="25" xfId="0" applyFont="1" applyBorder="1" applyProtection="1"/>
    <xf numFmtId="1" fontId="0" fillId="0" borderId="26" xfId="0" applyNumberFormat="1" applyFill="1" applyBorder="1" applyProtection="1"/>
    <xf numFmtId="174" fontId="45" fillId="0" borderId="26" xfId="23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center" vertical="center"/>
    </xf>
    <xf numFmtId="9" fontId="0" fillId="0" borderId="26" xfId="2" applyFont="1" applyBorder="1" applyProtection="1"/>
    <xf numFmtId="0" fontId="0" fillId="0" borderId="27" xfId="0" applyBorder="1" applyAlignment="1" applyProtection="1">
      <alignment horizontal="right"/>
    </xf>
    <xf numFmtId="182" fontId="0" fillId="0" borderId="3" xfId="0" applyNumberFormat="1" applyFill="1" applyBorder="1" applyProtection="1"/>
    <xf numFmtId="182" fontId="0" fillId="0" borderId="24" xfId="0" applyNumberFormat="1" applyFill="1" applyBorder="1" applyProtection="1"/>
    <xf numFmtId="0" fontId="0" fillId="0" borderId="20" xfId="0" applyFont="1" applyFill="1" applyBorder="1" applyProtection="1"/>
    <xf numFmtId="9" fontId="0" fillId="0" borderId="24" xfId="2" applyFont="1" applyBorder="1" applyProtection="1"/>
    <xf numFmtId="9" fontId="33" fillId="0" borderId="3" xfId="2" applyFont="1" applyFill="1" applyBorder="1" applyProtection="1"/>
    <xf numFmtId="0" fontId="41" fillId="0" borderId="0" xfId="0" applyFont="1" applyProtection="1"/>
    <xf numFmtId="166" fontId="119" fillId="8" borderId="30" xfId="17" applyFont="1" applyFill="1" applyBorder="1" applyAlignment="1" applyProtection="1">
      <alignment horizontal="left" wrapText="1"/>
    </xf>
    <xf numFmtId="166" fontId="113" fillId="8" borderId="30" xfId="17" applyFont="1" applyFill="1" applyBorder="1" applyAlignment="1" applyProtection="1">
      <alignment horizontal="left"/>
    </xf>
    <xf numFmtId="166" fontId="113" fillId="8" borderId="32" xfId="17" applyFont="1" applyFill="1" applyBorder="1" applyAlignment="1" applyProtection="1">
      <alignment horizontal="left"/>
    </xf>
    <xf numFmtId="166" fontId="113" fillId="8" borderId="33" xfId="17" applyFont="1" applyFill="1" applyBorder="1" applyAlignment="1" applyProtection="1">
      <alignment horizontal="left"/>
    </xf>
    <xf numFmtId="166" fontId="0" fillId="0" borderId="0" xfId="0" applyNumberFormat="1" applyBorder="1" applyProtection="1"/>
    <xf numFmtId="2" fontId="0" fillId="0" borderId="0" xfId="0" applyNumberFormat="1" applyBorder="1" applyProtection="1"/>
    <xf numFmtId="166" fontId="119" fillId="8" borderId="3" xfId="17" applyFont="1" applyFill="1" applyBorder="1" applyAlignment="1" applyProtection="1">
      <alignment horizontal="left" wrapText="1"/>
    </xf>
    <xf numFmtId="1" fontId="113" fillId="8" borderId="3" xfId="17" applyNumberFormat="1" applyFont="1" applyFill="1" applyBorder="1" applyAlignment="1" applyProtection="1">
      <alignment horizontal="left" wrapText="1"/>
    </xf>
    <xf numFmtId="1" fontId="113" fillId="8" borderId="29" xfId="17" applyNumberFormat="1" applyFont="1" applyFill="1" applyBorder="1" applyAlignment="1" applyProtection="1">
      <alignment horizontal="left" wrapText="1"/>
    </xf>
    <xf numFmtId="0" fontId="33" fillId="0" borderId="3" xfId="0" applyFont="1" applyBorder="1" applyProtection="1"/>
    <xf numFmtId="165" fontId="0" fillId="0" borderId="3" xfId="0" applyNumberFormat="1" applyFill="1" applyBorder="1" applyProtection="1"/>
    <xf numFmtId="2" fontId="0" fillId="0" borderId="24" xfId="0" applyNumberFormat="1" applyFill="1" applyBorder="1" applyProtection="1"/>
    <xf numFmtId="164" fontId="0" fillId="0" borderId="0" xfId="0" applyNumberFormat="1" applyBorder="1" applyProtection="1"/>
    <xf numFmtId="174" fontId="0" fillId="0" borderId="0" xfId="0" applyNumberFormat="1" applyBorder="1" applyProtection="1"/>
    <xf numFmtId="9" fontId="0" fillId="0" borderId="0" xfId="0" applyNumberFormat="1" applyBorder="1" applyProtection="1"/>
    <xf numFmtId="182" fontId="0" fillId="0" borderId="0" xfId="0" applyNumberFormat="1" applyBorder="1" applyProtection="1"/>
    <xf numFmtId="187" fontId="0" fillId="0" borderId="0" xfId="0" applyNumberFormat="1" applyBorder="1" applyProtection="1"/>
    <xf numFmtId="179" fontId="0" fillId="0" borderId="0" xfId="0" applyNumberFormat="1" applyBorder="1" applyProtection="1"/>
    <xf numFmtId="0" fontId="96" fillId="0" borderId="0" xfId="0" applyFont="1" applyProtection="1"/>
    <xf numFmtId="0" fontId="83" fillId="0" borderId="0" xfId="0" applyFont="1" applyProtection="1"/>
    <xf numFmtId="0" fontId="22" fillId="0" borderId="0" xfId="0" applyFont="1" applyProtection="1"/>
    <xf numFmtId="0" fontId="0" fillId="3" borderId="24" xfId="0" applyFill="1" applyBorder="1" applyProtection="1">
      <protection locked="0"/>
    </xf>
    <xf numFmtId="164" fontId="0" fillId="3" borderId="24" xfId="0" applyNumberFormat="1" applyFill="1" applyBorder="1" applyProtection="1">
      <protection locked="0"/>
    </xf>
    <xf numFmtId="182" fontId="0" fillId="3" borderId="24" xfId="0" applyNumberFormat="1" applyFill="1" applyBorder="1" applyProtection="1">
      <protection locked="0"/>
    </xf>
    <xf numFmtId="165" fontId="0" fillId="3" borderId="3" xfId="0" applyNumberFormat="1" applyFill="1" applyBorder="1" applyProtection="1">
      <protection locked="0"/>
    </xf>
    <xf numFmtId="9" fontId="0" fillId="0" borderId="3" xfId="0" applyNumberFormat="1" applyFill="1" applyBorder="1" applyProtection="1"/>
    <xf numFmtId="0" fontId="0" fillId="0" borderId="0" xfId="0" applyAlignment="1" applyProtection="1">
      <alignment horizontal="right"/>
    </xf>
    <xf numFmtId="1" fontId="0" fillId="0" borderId="26" xfId="0" applyNumberFormat="1" applyBorder="1" applyProtection="1"/>
    <xf numFmtId="1" fontId="0" fillId="0" borderId="27" xfId="0" applyNumberFormat="1" applyBorder="1" applyProtection="1"/>
    <xf numFmtId="0" fontId="113" fillId="8" borderId="22" xfId="0" applyFont="1" applyFill="1" applyBorder="1" applyAlignment="1" applyProtection="1">
      <alignment horizontal="center" vertical="center"/>
    </xf>
    <xf numFmtId="0" fontId="113" fillId="8" borderId="23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35" fillId="0" borderId="0" xfId="0" applyFont="1" applyAlignment="1" applyProtection="1">
      <alignment horizontal="right"/>
    </xf>
    <xf numFmtId="174" fontId="0" fillId="0" borderId="3" xfId="0" applyNumberFormat="1" applyBorder="1" applyProtection="1"/>
    <xf numFmtId="187" fontId="0" fillId="0" borderId="24" xfId="0" applyNumberFormat="1" applyBorder="1" applyProtection="1"/>
    <xf numFmtId="0" fontId="0" fillId="0" borderId="20" xfId="0" applyFill="1" applyBorder="1" applyProtection="1"/>
    <xf numFmtId="0" fontId="55" fillId="0" borderId="20" xfId="0" applyFont="1" applyBorder="1" applyProtection="1"/>
    <xf numFmtId="1" fontId="35" fillId="0" borderId="3" xfId="0" applyNumberFormat="1" applyFont="1" applyBorder="1" applyProtection="1"/>
    <xf numFmtId="174" fontId="55" fillId="0" borderId="3" xfId="23" applyNumberFormat="1" applyFont="1" applyBorder="1" applyProtection="1"/>
    <xf numFmtId="2" fontId="35" fillId="0" borderId="3" xfId="23" applyNumberFormat="1" applyFont="1" applyBorder="1" applyProtection="1"/>
    <xf numFmtId="0" fontId="55" fillId="0" borderId="25" xfId="0" applyFont="1" applyBorder="1" applyProtection="1"/>
    <xf numFmtId="0" fontId="40" fillId="0" borderId="26" xfId="0" applyFont="1" applyBorder="1" applyProtection="1"/>
    <xf numFmtId="174" fontId="55" fillId="0" borderId="26" xfId="0" applyNumberFormat="1" applyFont="1" applyBorder="1" applyProtection="1"/>
    <xf numFmtId="0" fontId="33" fillId="0" borderId="0" xfId="0" applyFont="1" applyFill="1" applyBorder="1" applyProtection="1"/>
    <xf numFmtId="0" fontId="46" fillId="0" borderId="0" xfId="0" applyFont="1" applyAlignment="1" applyProtection="1">
      <alignment horizontal="right"/>
    </xf>
    <xf numFmtId="0" fontId="92" fillId="0" borderId="0" xfId="0" applyFont="1" applyFill="1" applyBorder="1" applyProtection="1"/>
    <xf numFmtId="0" fontId="100" fillId="0" borderId="0" xfId="6" applyFont="1" applyFill="1" applyBorder="1" applyAlignment="1" applyProtection="1">
      <alignment horizontal="left" vertical="top" indent="4"/>
    </xf>
    <xf numFmtId="169" fontId="28" fillId="0" borderId="0" xfId="8" quotePrefix="1" applyFont="1" applyFill="1" applyBorder="1" applyProtection="1">
      <alignment horizontal="right" vertical="top"/>
    </xf>
    <xf numFmtId="169" fontId="101" fillId="0" borderId="0" xfId="8" quotePrefix="1" applyFont="1" applyFill="1" applyBorder="1" applyProtection="1">
      <alignment horizontal="right" vertical="top"/>
    </xf>
    <xf numFmtId="43" fontId="0" fillId="0" borderId="0" xfId="23" applyFont="1" applyAlignment="1" applyProtection="1">
      <alignment horizontal="right"/>
    </xf>
    <xf numFmtId="0" fontId="91" fillId="0" borderId="0" xfId="0" applyFont="1" applyFill="1" applyBorder="1" applyAlignment="1" applyProtection="1">
      <alignment horizontal="left" indent="4"/>
    </xf>
    <xf numFmtId="0" fontId="91" fillId="0" borderId="0" xfId="0" applyFont="1" applyAlignment="1" applyProtection="1">
      <alignment horizontal="left" indent="4"/>
    </xf>
    <xf numFmtId="0" fontId="0" fillId="0" borderId="0" xfId="0" applyAlignment="1" applyProtection="1">
      <alignment vertical="center"/>
    </xf>
    <xf numFmtId="9" fontId="0" fillId="0" borderId="24" xfId="0" applyNumberFormat="1" applyBorder="1" applyProtection="1"/>
    <xf numFmtId="165" fontId="0" fillId="0" borderId="3" xfId="0" applyNumberFormat="1" applyBorder="1" applyProtection="1"/>
    <xf numFmtId="165" fontId="0" fillId="0" borderId="24" xfId="0" applyNumberFormat="1" applyBorder="1" applyProtection="1"/>
    <xf numFmtId="0" fontId="37" fillId="0" borderId="20" xfId="0" applyFont="1" applyBorder="1" applyProtection="1"/>
    <xf numFmtId="0" fontId="0" fillId="0" borderId="24" xfId="0" applyFill="1" applyBorder="1" applyProtection="1"/>
    <xf numFmtId="0" fontId="0" fillId="3" borderId="24" xfId="0" applyFill="1" applyBorder="1" applyProtection="1"/>
    <xf numFmtId="0" fontId="38" fillId="0" borderId="0" xfId="0" applyFont="1" applyBorder="1" applyProtection="1"/>
    <xf numFmtId="0" fontId="111" fillId="8" borderId="22" xfId="0" applyFont="1" applyFill="1" applyBorder="1" applyAlignment="1" applyProtection="1">
      <alignment horizontal="right"/>
    </xf>
    <xf numFmtId="0" fontId="111" fillId="8" borderId="23" xfId="0" applyFont="1" applyFill="1" applyBorder="1" applyAlignment="1" applyProtection="1">
      <alignment horizontal="right"/>
    </xf>
    <xf numFmtId="0" fontId="93" fillId="0" borderId="0" xfId="0" applyFont="1" applyFill="1" applyBorder="1" applyProtection="1"/>
    <xf numFmtId="0" fontId="85" fillId="0" borderId="0" xfId="0" applyFont="1" applyFill="1" applyBorder="1" applyProtection="1"/>
    <xf numFmtId="0" fontId="127" fillId="0" borderId="3" xfId="0" applyFont="1" applyFill="1" applyBorder="1" applyProtection="1"/>
    <xf numFmtId="0" fontId="127" fillId="0" borderId="0" xfId="0" applyFont="1" applyFill="1" applyBorder="1" applyAlignment="1" applyProtection="1">
      <alignment horizontal="center"/>
    </xf>
    <xf numFmtId="0" fontId="49" fillId="0" borderId="0" xfId="0" applyFont="1" applyFill="1" applyBorder="1" applyProtection="1"/>
    <xf numFmtId="0" fontId="49" fillId="0" borderId="0" xfId="0" applyFont="1" applyFill="1" applyBorder="1" applyAlignment="1" applyProtection="1">
      <alignment horizontal="center" vertical="center"/>
    </xf>
    <xf numFmtId="0" fontId="56" fillId="5" borderId="0" xfId="0" applyFont="1" applyFill="1" applyBorder="1" applyAlignment="1" applyProtection="1">
      <alignment horizontal="center" vertical="center"/>
    </xf>
    <xf numFmtId="0" fontId="49" fillId="5" borderId="0" xfId="0" applyFont="1" applyFill="1" applyBorder="1" applyProtection="1"/>
    <xf numFmtId="0" fontId="56" fillId="5" borderId="0" xfId="0" applyFont="1" applyFill="1" applyBorder="1" applyAlignment="1" applyProtection="1">
      <alignment horizontal="center"/>
    </xf>
    <xf numFmtId="0" fontId="56" fillId="5" borderId="0" xfId="0" applyFont="1" applyFill="1" applyBorder="1" applyProtection="1"/>
    <xf numFmtId="0" fontId="50" fillId="5" borderId="0" xfId="0" applyFont="1" applyFill="1" applyBorder="1" applyProtection="1"/>
    <xf numFmtId="0" fontId="56" fillId="0" borderId="0" xfId="0" applyFont="1" applyFill="1" applyBorder="1" applyProtection="1"/>
    <xf numFmtId="0" fontId="50" fillId="0" borderId="0" xfId="0" applyFont="1" applyFill="1" applyBorder="1" applyProtection="1"/>
    <xf numFmtId="0" fontId="56" fillId="0" borderId="0" xfId="0" applyFont="1" applyFill="1" applyBorder="1" applyAlignment="1" applyProtection="1">
      <alignment horizontal="center" vertical="center"/>
    </xf>
    <xf numFmtId="176" fontId="50" fillId="0" borderId="0" xfId="0" applyNumberFormat="1" applyFont="1" applyFill="1" applyBorder="1" applyAlignment="1" applyProtection="1">
      <alignment horizontal="center"/>
    </xf>
    <xf numFmtId="174" fontId="69" fillId="0" borderId="0" xfId="23" applyNumberFormat="1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center"/>
    </xf>
    <xf numFmtId="0" fontId="70" fillId="0" borderId="0" xfId="0" applyFont="1" applyFill="1" applyBorder="1" applyAlignment="1" applyProtection="1">
      <alignment horizontal="center" vertical="center"/>
    </xf>
    <xf numFmtId="0" fontId="70" fillId="0" borderId="0" xfId="0" applyFont="1" applyFill="1" applyBorder="1" applyProtection="1"/>
    <xf numFmtId="0" fontId="70" fillId="0" borderId="0" xfId="0" applyFont="1" applyFill="1" applyBorder="1" applyAlignment="1" applyProtection="1">
      <alignment horizontal="center"/>
    </xf>
    <xf numFmtId="0" fontId="51" fillId="0" borderId="0" xfId="0" applyFont="1" applyFill="1" applyBorder="1" applyProtection="1"/>
    <xf numFmtId="0" fontId="87" fillId="0" borderId="0" xfId="0" applyFont="1" applyProtection="1"/>
    <xf numFmtId="3" fontId="125" fillId="0" borderId="0" xfId="23" applyNumberFormat="1" applyFont="1" applyFill="1" applyBorder="1" applyAlignment="1" applyProtection="1">
      <alignment horizontal="center"/>
    </xf>
    <xf numFmtId="0" fontId="87" fillId="0" borderId="0" xfId="0" applyFont="1" applyAlignment="1" applyProtection="1">
      <alignment horizontal="center" vertical="center"/>
    </xf>
    <xf numFmtId="164" fontId="126" fillId="0" borderId="0" xfId="0" applyNumberFormat="1" applyFont="1" applyAlignment="1" applyProtection="1">
      <alignment horizontal="center"/>
    </xf>
    <xf numFmtId="0" fontId="51" fillId="0" borderId="0" xfId="0" applyFont="1" applyFill="1" applyBorder="1" applyAlignment="1" applyProtection="1">
      <alignment horizontal="center" vertical="center"/>
    </xf>
    <xf numFmtId="182" fontId="126" fillId="0" borderId="0" xfId="0" applyNumberFormat="1" applyFont="1" applyAlignment="1" applyProtection="1">
      <alignment horizontal="center"/>
    </xf>
    <xf numFmtId="174" fontId="107" fillId="0" borderId="0" xfId="23" applyNumberFormat="1" applyFont="1" applyAlignment="1" applyProtection="1">
      <alignment horizontal="center" vertical="center"/>
    </xf>
    <xf numFmtId="187" fontId="126" fillId="0" borderId="0" xfId="0" applyNumberFormat="1" applyFont="1" applyAlignment="1" applyProtection="1">
      <alignment horizontal="center"/>
    </xf>
    <xf numFmtId="0" fontId="49" fillId="0" borderId="0" xfId="0" applyFont="1" applyProtection="1"/>
    <xf numFmtId="0" fontId="0" fillId="5" borderId="0" xfId="0" applyFill="1" applyProtection="1"/>
    <xf numFmtId="0" fontId="86" fillId="5" borderId="0" xfId="0" applyFont="1" applyFill="1" applyBorder="1" applyAlignment="1" applyProtection="1">
      <alignment horizontal="right"/>
    </xf>
    <xf numFmtId="181" fontId="86" fillId="5" borderId="0" xfId="0" applyNumberFormat="1" applyFont="1" applyFill="1" applyBorder="1" applyAlignment="1" applyProtection="1">
      <alignment horizontal="right"/>
    </xf>
    <xf numFmtId="0" fontId="70" fillId="5" borderId="0" xfId="0" applyFont="1" applyFill="1" applyBorder="1" applyAlignment="1" applyProtection="1">
      <alignment horizontal="center"/>
    </xf>
    <xf numFmtId="0" fontId="0" fillId="5" borderId="0" xfId="0" applyFill="1" applyAlignment="1" applyProtection="1">
      <alignment horizontal="center" vertical="center"/>
    </xf>
    <xf numFmtId="1" fontId="0" fillId="0" borderId="0" xfId="0" applyNumberFormat="1" applyFill="1" applyBorder="1" applyProtection="1"/>
    <xf numFmtId="9" fontId="0" fillId="0" borderId="24" xfId="2" applyFont="1" applyFill="1" applyBorder="1" applyProtection="1"/>
    <xf numFmtId="164" fontId="0" fillId="0" borderId="0" xfId="0" applyNumberFormat="1" applyFill="1" applyBorder="1" applyProtection="1"/>
    <xf numFmtId="182" fontId="48" fillId="0" borderId="0" xfId="0" applyNumberFormat="1" applyFont="1" applyFill="1" applyBorder="1" applyProtection="1"/>
    <xf numFmtId="0" fontId="113" fillId="0" borderId="0" xfId="0" applyFont="1" applyFill="1" applyBorder="1" applyAlignment="1" applyProtection="1">
      <alignment horizontal="center"/>
    </xf>
    <xf numFmtId="164" fontId="0" fillId="0" borderId="0" xfId="0" applyNumberFormat="1" applyFill="1" applyBorder="1" applyProtection="1">
      <protection locked="0"/>
    </xf>
    <xf numFmtId="164" fontId="34" fillId="0" borderId="0" xfId="0" applyNumberFormat="1" applyFont="1" applyFill="1" applyBorder="1" applyProtection="1"/>
    <xf numFmtId="0" fontId="110" fillId="8" borderId="19" xfId="0" applyFont="1" applyFill="1" applyBorder="1" applyAlignment="1" applyProtection="1">
      <alignment horizontal="center"/>
    </xf>
    <xf numFmtId="0" fontId="110" fillId="8" borderId="55" xfId="0" applyFont="1" applyFill="1" applyBorder="1" applyProtection="1"/>
    <xf numFmtId="0" fontId="110" fillId="8" borderId="6" xfId="0" applyFont="1" applyFill="1" applyBorder="1" applyAlignment="1" applyProtection="1">
      <alignment horizontal="center"/>
    </xf>
    <xf numFmtId="0" fontId="110" fillId="0" borderId="0" xfId="0" applyFont="1" applyFill="1" applyBorder="1" applyProtection="1"/>
    <xf numFmtId="9" fontId="0" fillId="0" borderId="0" xfId="0" applyNumberFormat="1" applyFont="1" applyFill="1" applyBorder="1" applyProtection="1"/>
    <xf numFmtId="0" fontId="113" fillId="8" borderId="18" xfId="0" applyFont="1" applyFill="1" applyBorder="1" applyAlignment="1" applyProtection="1">
      <alignment horizontal="center"/>
    </xf>
    <xf numFmtId="0" fontId="113" fillId="8" borderId="23" xfId="0" applyFont="1" applyFill="1" applyBorder="1" applyAlignment="1" applyProtection="1">
      <alignment horizontal="center"/>
    </xf>
    <xf numFmtId="0" fontId="113" fillId="8" borderId="55" xfId="0" applyFont="1" applyFill="1" applyBorder="1" applyProtection="1"/>
    <xf numFmtId="0" fontId="113" fillId="8" borderId="48" xfId="0" applyFont="1" applyFill="1" applyBorder="1" applyProtection="1"/>
    <xf numFmtId="164" fontId="0" fillId="0" borderId="20" xfId="0" applyNumberFormat="1" applyFill="1" applyBorder="1" applyProtection="1"/>
    <xf numFmtId="164" fontId="0" fillId="0" borderId="24" xfId="0" applyNumberFormat="1" applyFill="1" applyBorder="1" applyProtection="1"/>
    <xf numFmtId="164" fontId="34" fillId="0" borderId="24" xfId="0" applyNumberFormat="1" applyFont="1" applyBorder="1" applyProtection="1"/>
    <xf numFmtId="9" fontId="0" fillId="3" borderId="24" xfId="0" applyNumberFormat="1" applyFill="1" applyBorder="1" applyProtection="1">
      <protection locked="0"/>
    </xf>
    <xf numFmtId="182" fontId="39" fillId="0" borderId="24" xfId="0" applyNumberFormat="1" applyFont="1" applyBorder="1" applyProtection="1"/>
    <xf numFmtId="182" fontId="48" fillId="0" borderId="24" xfId="0" applyNumberFormat="1" applyFont="1" applyBorder="1" applyProtection="1"/>
    <xf numFmtId="182" fontId="48" fillId="0" borderId="27" xfId="0" applyNumberFormat="1" applyFont="1" applyFill="1" applyBorder="1" applyProtection="1"/>
    <xf numFmtId="0" fontId="110" fillId="8" borderId="48" xfId="0" applyFont="1" applyFill="1" applyBorder="1" applyAlignment="1" applyProtection="1">
      <alignment horizontal="center"/>
    </xf>
    <xf numFmtId="9" fontId="0" fillId="3" borderId="24" xfId="2" applyFont="1" applyFill="1" applyBorder="1" applyProtection="1">
      <protection locked="0"/>
    </xf>
    <xf numFmtId="182" fontId="0" fillId="0" borderId="24" xfId="0" applyNumberFormat="1" applyFont="1" applyBorder="1" applyProtection="1"/>
    <xf numFmtId="9" fontId="0" fillId="0" borderId="26" xfId="0" applyNumberFormat="1" applyFont="1" applyBorder="1" applyProtection="1"/>
    <xf numFmtId="9" fontId="0" fillId="0" borderId="20" xfId="2" applyFont="1" applyFill="1" applyBorder="1" applyProtection="1"/>
    <xf numFmtId="2" fontId="39" fillId="0" borderId="0" xfId="0" applyNumberFormat="1" applyFont="1" applyFill="1" applyBorder="1" applyProtection="1"/>
    <xf numFmtId="2" fontId="34" fillId="0" borderId="0" xfId="0" applyNumberFormat="1" applyFont="1" applyProtection="1"/>
    <xf numFmtId="9" fontId="34" fillId="0" borderId="0" xfId="2" applyFont="1" applyProtection="1"/>
    <xf numFmtId="9" fontId="0" fillId="0" borderId="0" xfId="2" applyFont="1" applyProtection="1"/>
    <xf numFmtId="2" fontId="34" fillId="0" borderId="0" xfId="0" applyNumberFormat="1" applyFont="1" applyBorder="1" applyProtection="1"/>
    <xf numFmtId="2" fontId="34" fillId="0" borderId="0" xfId="0" applyNumberFormat="1" applyFont="1" applyFill="1" applyBorder="1" applyProtection="1"/>
    <xf numFmtId="173" fontId="39" fillId="0" borderId="0" xfId="2" applyNumberFormat="1" applyFont="1" applyFill="1" applyBorder="1" applyProtection="1"/>
    <xf numFmtId="173" fontId="39" fillId="0" borderId="0" xfId="0" applyNumberFormat="1" applyFont="1" applyFill="1" applyBorder="1" applyProtection="1"/>
    <xf numFmtId="173" fontId="34" fillId="0" borderId="0" xfId="0" applyNumberFormat="1" applyFont="1" applyProtection="1"/>
    <xf numFmtId="173" fontId="34" fillId="0" borderId="0" xfId="2" applyNumberFormat="1" applyFont="1" applyProtection="1"/>
    <xf numFmtId="2" fontId="0" fillId="0" borderId="0" xfId="0" applyNumberFormat="1" applyFill="1" applyBorder="1" applyProtection="1">
      <protection locked="0"/>
    </xf>
    <xf numFmtId="2" fontId="0" fillId="3" borderId="24" xfId="0" applyNumberFormat="1" applyFill="1" applyBorder="1" applyProtection="1">
      <protection locked="0"/>
    </xf>
    <xf numFmtId="0" fontId="110" fillId="7" borderId="22" xfId="0" applyFont="1" applyFill="1" applyBorder="1" applyAlignment="1" applyProtection="1">
      <alignment horizontal="right"/>
      <protection locked="0"/>
    </xf>
    <xf numFmtId="9" fontId="35" fillId="3" borderId="3" xfId="2" applyFont="1" applyFill="1" applyBorder="1" applyProtection="1">
      <protection locked="0"/>
    </xf>
    <xf numFmtId="9" fontId="35" fillId="3" borderId="6" xfId="2" applyFont="1" applyFill="1" applyBorder="1" applyProtection="1">
      <protection locked="0"/>
    </xf>
    <xf numFmtId="0" fontId="113" fillId="0" borderId="0" xfId="0" applyFont="1" applyFill="1" applyBorder="1" applyProtection="1">
      <protection locked="0"/>
    </xf>
    <xf numFmtId="0" fontId="110" fillId="0" borderId="0" xfId="0" applyFont="1" applyFill="1" applyBorder="1" applyProtection="1">
      <protection locked="0"/>
    </xf>
    <xf numFmtId="9" fontId="0" fillId="0" borderId="0" xfId="2" applyFont="1" applyFill="1" applyBorder="1" applyAlignment="1" applyProtection="1">
      <alignment horizontal="center" vertical="center"/>
    </xf>
    <xf numFmtId="0" fontId="34" fillId="0" borderId="0" xfId="0" applyFont="1" applyFill="1" applyBorder="1" applyProtection="1">
      <protection locked="0"/>
    </xf>
    <xf numFmtId="9" fontId="34" fillId="0" borderId="0" xfId="2" applyFont="1" applyFill="1" applyBorder="1" applyAlignment="1" applyProtection="1">
      <alignment horizontal="center" vertical="center"/>
    </xf>
    <xf numFmtId="174" fontId="1" fillId="0" borderId="0" xfId="23" applyNumberFormat="1" applyFont="1" applyFill="1" applyBorder="1" applyProtection="1"/>
    <xf numFmtId="9" fontId="0" fillId="0" borderId="49" xfId="2" applyFont="1" applyFill="1" applyBorder="1" applyProtection="1"/>
    <xf numFmtId="2" fontId="0" fillId="0" borderId="3" xfId="0" applyNumberFormat="1" applyFill="1" applyBorder="1" applyAlignment="1" applyProtection="1">
      <alignment horizontal="right"/>
    </xf>
    <xf numFmtId="0" fontId="109" fillId="8" borderId="21" xfId="0" applyFont="1" applyFill="1" applyBorder="1" applyProtection="1"/>
    <xf numFmtId="0" fontId="0" fillId="8" borderId="22" xfId="0" applyFill="1" applyBorder="1" applyProtection="1">
      <protection locked="0"/>
    </xf>
    <xf numFmtId="0" fontId="109" fillId="8" borderId="22" xfId="0" applyFont="1" applyFill="1" applyBorder="1" applyAlignment="1" applyProtection="1">
      <alignment horizontal="right"/>
    </xf>
    <xf numFmtId="0" fontId="109" fillId="8" borderId="23" xfId="0" applyFont="1" applyFill="1" applyBorder="1" applyAlignment="1" applyProtection="1">
      <alignment horizontal="right"/>
    </xf>
    <xf numFmtId="0" fontId="0" fillId="0" borderId="24" xfId="0" applyBorder="1" applyAlignment="1" applyProtection="1">
      <alignment horizontal="right"/>
    </xf>
    <xf numFmtId="0" fontId="0" fillId="0" borderId="26" xfId="0" applyBorder="1" applyProtection="1">
      <protection locked="0"/>
    </xf>
    <xf numFmtId="1" fontId="0" fillId="0" borderId="3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7" fontId="0" fillId="0" borderId="3" xfId="0" applyNumberFormat="1" applyBorder="1" applyProtection="1"/>
    <xf numFmtId="0" fontId="0" fillId="0" borderId="3" xfId="0" applyBorder="1" applyAlignment="1" applyProtection="1">
      <alignment horizontal="center" vertical="center"/>
    </xf>
    <xf numFmtId="7" fontId="0" fillId="3" borderId="3" xfId="0" applyNumberFormat="1" applyFill="1" applyBorder="1" applyProtection="1">
      <protection locked="0"/>
    </xf>
    <xf numFmtId="7" fontId="0" fillId="3" borderId="3" xfId="2" applyNumberFormat="1" applyFont="1" applyFill="1" applyBorder="1" applyProtection="1">
      <protection locked="0"/>
    </xf>
    <xf numFmtId="2" fontId="35" fillId="0" borderId="3" xfId="0" applyNumberFormat="1" applyFont="1" applyBorder="1" applyProtection="1"/>
    <xf numFmtId="7" fontId="0" fillId="0" borderId="3" xfId="2" applyNumberFormat="1" applyFont="1" applyBorder="1" applyProtection="1"/>
    <xf numFmtId="0" fontId="110" fillId="8" borderId="18" xfId="0" applyFont="1" applyFill="1" applyBorder="1" applyProtection="1"/>
    <xf numFmtId="0" fontId="110" fillId="8" borderId="19" xfId="0" applyFont="1" applyFill="1" applyBorder="1" applyProtection="1"/>
    <xf numFmtId="0" fontId="110" fillId="8" borderId="19" xfId="0" applyFont="1" applyFill="1" applyBorder="1" applyAlignment="1" applyProtection="1">
      <alignment horizontal="center" vertical="center"/>
    </xf>
    <xf numFmtId="0" fontId="110" fillId="8" borderId="12" xfId="0" applyFont="1" applyFill="1" applyBorder="1" applyAlignment="1" applyProtection="1">
      <alignment horizontal="center" vertical="center"/>
    </xf>
    <xf numFmtId="0" fontId="110" fillId="8" borderId="15" xfId="0" applyFont="1" applyFill="1" applyBorder="1" applyProtection="1"/>
    <xf numFmtId="9" fontId="110" fillId="8" borderId="0" xfId="2" applyFont="1" applyFill="1" applyBorder="1" applyProtection="1"/>
    <xf numFmtId="9" fontId="110" fillId="8" borderId="0" xfId="0" applyNumberFormat="1" applyFont="1" applyFill="1" applyBorder="1" applyProtection="1"/>
    <xf numFmtId="9" fontId="110" fillId="8" borderId="13" xfId="0" applyNumberFormat="1" applyFont="1" applyFill="1" applyBorder="1" applyProtection="1"/>
    <xf numFmtId="2" fontId="0" fillId="0" borderId="24" xfId="0" applyNumberFormat="1" applyBorder="1" applyProtection="1"/>
    <xf numFmtId="2" fontId="35" fillId="0" borderId="24" xfId="0" applyNumberFormat="1" applyFont="1" applyBorder="1" applyProtection="1"/>
    <xf numFmtId="0" fontId="0" fillId="3" borderId="26" xfId="0" applyFill="1" applyBorder="1" applyProtection="1">
      <protection locked="0"/>
    </xf>
    <xf numFmtId="2" fontId="55" fillId="0" borderId="26" xfId="0" applyNumberFormat="1" applyFont="1" applyBorder="1" applyProtection="1"/>
    <xf numFmtId="2" fontId="55" fillId="0" borderId="27" xfId="0" applyNumberFormat="1" applyFont="1" applyBorder="1" applyProtection="1"/>
    <xf numFmtId="0" fontId="0" fillId="0" borderId="3" xfId="0" applyBorder="1" applyAlignment="1" applyProtection="1">
      <alignment horizontal="right"/>
      <protection locked="0"/>
    </xf>
    <xf numFmtId="9" fontId="0" fillId="0" borderId="3" xfId="2" applyFont="1" applyFill="1" applyBorder="1" applyProtection="1">
      <protection hidden="1"/>
    </xf>
    <xf numFmtId="9" fontId="0" fillId="4" borderId="3" xfId="2" applyFont="1" applyFill="1" applyBorder="1" applyProtection="1">
      <protection hidden="1"/>
    </xf>
    <xf numFmtId="0" fontId="111" fillId="8" borderId="21" xfId="0" applyFont="1" applyFill="1" applyBorder="1" applyProtection="1"/>
    <xf numFmtId="184" fontId="0" fillId="0" borderId="20" xfId="0" applyNumberFormat="1" applyBorder="1" applyProtection="1"/>
    <xf numFmtId="0" fontId="0" fillId="0" borderId="25" xfId="0" applyFill="1" applyBorder="1" applyProtection="1"/>
    <xf numFmtId="0" fontId="35" fillId="0" borderId="0" xfId="0" applyFont="1" applyBorder="1" applyProtection="1"/>
    <xf numFmtId="0" fontId="111" fillId="7" borderId="43" xfId="0" applyFont="1" applyFill="1" applyBorder="1" applyAlignment="1" applyProtection="1">
      <alignment wrapText="1"/>
    </xf>
    <xf numFmtId="0" fontId="0" fillId="0" borderId="36" xfId="0" applyBorder="1" applyProtection="1"/>
    <xf numFmtId="0" fontId="35" fillId="0" borderId="40" xfId="0" applyFont="1" applyBorder="1" applyProtection="1"/>
    <xf numFmtId="0" fontId="0" fillId="0" borderId="37" xfId="0" applyBorder="1" applyProtection="1"/>
    <xf numFmtId="0" fontId="111" fillId="7" borderId="18" xfId="0" applyFont="1" applyFill="1" applyBorder="1" applyProtection="1"/>
    <xf numFmtId="0" fontId="34" fillId="0" borderId="35" xfId="0" applyFont="1" applyFill="1" applyBorder="1" applyAlignment="1" applyProtection="1">
      <alignment horizontal="left"/>
    </xf>
    <xf numFmtId="0" fontId="35" fillId="0" borderId="20" xfId="0" applyFont="1" applyBorder="1" applyProtection="1"/>
    <xf numFmtId="0" fontId="109" fillId="7" borderId="28" xfId="0" applyFont="1" applyFill="1" applyBorder="1" applyProtection="1"/>
    <xf numFmtId="0" fontId="109" fillId="7" borderId="31" xfId="0" applyFont="1" applyFill="1" applyBorder="1" applyProtection="1"/>
    <xf numFmtId="0" fontId="109" fillId="7" borderId="46" xfId="0" applyFont="1" applyFill="1" applyBorder="1" applyAlignment="1" applyProtection="1">
      <alignment wrapText="1"/>
    </xf>
    <xf numFmtId="0" fontId="109" fillId="7" borderId="44" xfId="0" applyFont="1" applyFill="1" applyBorder="1" applyAlignment="1" applyProtection="1">
      <alignment wrapText="1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26" xfId="0" applyNumberFormat="1" applyFill="1" applyBorder="1" applyAlignment="1" applyProtection="1">
      <alignment horizontal="center" vertical="center"/>
    </xf>
    <xf numFmtId="0" fontId="109" fillId="7" borderId="21" xfId="0" applyFont="1" applyFill="1" applyBorder="1" applyProtection="1"/>
    <xf numFmtId="0" fontId="109" fillId="7" borderId="25" xfId="0" applyFont="1" applyFill="1" applyBorder="1" applyAlignment="1" applyProtection="1">
      <alignment wrapText="1"/>
    </xf>
    <xf numFmtId="0" fontId="34" fillId="0" borderId="35" xfId="0" applyFont="1" applyFill="1" applyBorder="1" applyProtection="1"/>
    <xf numFmtId="0" fontId="109" fillId="7" borderId="22" xfId="0" applyFont="1" applyFill="1" applyBorder="1" applyProtection="1"/>
    <xf numFmtId="0" fontId="109" fillId="7" borderId="26" xfId="0" applyFont="1" applyFill="1" applyBorder="1" applyAlignment="1" applyProtection="1">
      <alignment wrapText="1"/>
    </xf>
    <xf numFmtId="0" fontId="34" fillId="0" borderId="7" xfId="0" applyFont="1" applyFill="1" applyBorder="1" applyProtection="1"/>
    <xf numFmtId="0" fontId="0" fillId="0" borderId="26" xfId="0" applyFill="1" applyBorder="1" applyProtection="1"/>
    <xf numFmtId="0" fontId="109" fillId="7" borderId="23" xfId="0" applyFont="1" applyFill="1" applyBorder="1" applyProtection="1"/>
    <xf numFmtId="0" fontId="109" fillId="7" borderId="27" xfId="0" applyFont="1" applyFill="1" applyBorder="1" applyAlignment="1" applyProtection="1">
      <alignment wrapText="1"/>
    </xf>
    <xf numFmtId="0" fontId="34" fillId="0" borderId="29" xfId="0" applyFont="1" applyFill="1" applyBorder="1" applyProtection="1"/>
    <xf numFmtId="0" fontId="0" fillId="0" borderId="27" xfId="0" applyFill="1" applyBorder="1" applyProtection="1"/>
    <xf numFmtId="0" fontId="109" fillId="7" borderId="12" xfId="0" applyFont="1" applyFill="1" applyBorder="1" applyProtection="1"/>
    <xf numFmtId="0" fontId="109" fillId="7" borderId="39" xfId="0" applyFont="1" applyFill="1" applyBorder="1" applyAlignment="1" applyProtection="1">
      <alignment wrapText="1"/>
    </xf>
    <xf numFmtId="0" fontId="0" fillId="0" borderId="13" xfId="0" applyFont="1" applyFill="1" applyBorder="1" applyProtection="1"/>
    <xf numFmtId="0" fontId="0" fillId="0" borderId="39" xfId="0" applyFill="1" applyBorder="1" applyProtection="1"/>
    <xf numFmtId="0" fontId="55" fillId="0" borderId="25" xfId="0" applyFont="1" applyFill="1" applyBorder="1" applyProtection="1"/>
    <xf numFmtId="0" fontId="111" fillId="7" borderId="21" xfId="0" applyFont="1" applyFill="1" applyBorder="1" applyProtection="1"/>
    <xf numFmtId="0" fontId="0" fillId="0" borderId="55" xfId="0" applyFill="1" applyBorder="1" applyProtection="1"/>
    <xf numFmtId="0" fontId="0" fillId="0" borderId="56" xfId="0" applyFill="1" applyBorder="1" applyProtection="1"/>
    <xf numFmtId="9" fontId="0" fillId="3" borderId="20" xfId="2" applyFont="1" applyFill="1" applyBorder="1" applyAlignment="1" applyProtection="1">
      <alignment horizontal="center"/>
      <protection locked="0"/>
    </xf>
    <xf numFmtId="171" fontId="15" fillId="0" borderId="0" xfId="11" applyNumberFormat="1" applyFont="1" applyBorder="1" applyProtection="1">
      <alignment horizontal="left" vertical="center"/>
    </xf>
    <xf numFmtId="171" fontId="15" fillId="0" borderId="0" xfId="11" applyNumberFormat="1" applyBorder="1" applyProtection="1">
      <alignment horizontal="left" vertical="center"/>
    </xf>
    <xf numFmtId="0" fontId="81" fillId="0" borderId="22" xfId="24" applyFont="1" applyFill="1" applyBorder="1" applyAlignment="1" applyProtection="1">
      <alignment horizontal="center"/>
    </xf>
    <xf numFmtId="1" fontId="0" fillId="0" borderId="0" xfId="0" applyNumberFormat="1" applyFill="1" applyBorder="1" applyProtection="1"/>
  </cellXfs>
  <cellStyles count="31">
    <cellStyle name="Comma" xfId="23" builtinId="3"/>
    <cellStyle name="Comma 2" xfId="29" xr:uid="{00000000-0005-0000-0000-000001000000}"/>
    <cellStyle name="Currency" xfId="1" builtinId="4"/>
    <cellStyle name="Currency 2" xfId="26" xr:uid="{00000000-0005-0000-0000-000003000000}"/>
    <cellStyle name="Currency 3" xfId="30" xr:uid="{00000000-0005-0000-0000-000004000000}"/>
    <cellStyle name="EY Narrative text" xfId="20" xr:uid="{00000000-0005-0000-0000-000005000000}"/>
    <cellStyle name="EY1dp" xfId="8" xr:uid="{00000000-0005-0000-0000-000006000000}"/>
    <cellStyle name="EYChartTitle" xfId="3" xr:uid="{00000000-0005-0000-0000-000007000000}"/>
    <cellStyle name="EYColumnHeading" xfId="15" xr:uid="{00000000-0005-0000-0000-000008000000}"/>
    <cellStyle name="EYCoverDatabookName" xfId="10" xr:uid="{00000000-0005-0000-0000-000009000000}"/>
    <cellStyle name="EYCoverDate" xfId="11" xr:uid="{00000000-0005-0000-0000-00000A000000}"/>
    <cellStyle name="EYCoverDraft" xfId="13" xr:uid="{00000000-0005-0000-0000-00000B000000}"/>
    <cellStyle name="EYCoverProjectName" xfId="9" xr:uid="{00000000-0005-0000-0000-00000C000000}"/>
    <cellStyle name="EYCurrency" xfId="17" xr:uid="{00000000-0005-0000-0000-00000D000000}"/>
    <cellStyle name="EYnumber" xfId="7" xr:uid="{00000000-0005-0000-0000-00000E000000}"/>
    <cellStyle name="EYRelianceRestricted" xfId="12" xr:uid="{00000000-0005-0000-0000-00000F000000}"/>
    <cellStyle name="EYSectionHeading" xfId="18" xr:uid="{00000000-0005-0000-0000-000010000000}"/>
    <cellStyle name="EYSheetHeader1" xfId="5" xr:uid="{00000000-0005-0000-0000-000011000000}"/>
    <cellStyle name="EYSheetHeading" xfId="14" xr:uid="{00000000-0005-0000-0000-000012000000}"/>
    <cellStyle name="EYsmallheading" xfId="19" xr:uid="{00000000-0005-0000-0000-000013000000}"/>
    <cellStyle name="EYSource" xfId="21" xr:uid="{00000000-0005-0000-0000-000014000000}"/>
    <cellStyle name="EYtext" xfId="6" xr:uid="{00000000-0005-0000-0000-000015000000}"/>
    <cellStyle name="Hyperlink" xfId="16" builtinId="8"/>
    <cellStyle name="Input" xfId="22" builtinId="20"/>
    <cellStyle name="Normal" xfId="0" builtinId="0"/>
    <cellStyle name="Normal 2" xfId="24" xr:uid="{00000000-0005-0000-0000-000019000000}"/>
    <cellStyle name="Normal 3" xfId="25" xr:uid="{00000000-0005-0000-0000-00001A000000}"/>
    <cellStyle name="Normal 4" xfId="28" xr:uid="{00000000-0005-0000-0000-00001B000000}"/>
    <cellStyle name="Normal_Transaction Foundations Workbook" xfId="4" xr:uid="{00000000-0005-0000-0000-00001C000000}"/>
    <cellStyle name="Percent" xfId="2" builtinId="5"/>
    <cellStyle name="Percent 2" xfId="27" xr:uid="{00000000-0005-0000-0000-00001E000000}"/>
  </cellStyles>
  <dxfs count="4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 Net Cash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11211951543626"/>
          <c:y val="0.13012693319094282"/>
          <c:w val="0.78538267870764189"/>
          <c:h val="0.8312804050974206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DOPN2!$B$35:$L$35</c:f>
              <c:numCache>
                <c:formatCode>#,##0</c:formatCode>
                <c:ptCount val="11"/>
                <c:pt idx="1">
                  <c:v>-5702.8027727691915</c:v>
                </c:pt>
                <c:pt idx="2">
                  <c:v>-20491.865370579992</c:v>
                </c:pt>
                <c:pt idx="3">
                  <c:v>-50387.430101032121</c:v>
                </c:pt>
                <c:pt idx="4">
                  <c:v>-85476.254678322497</c:v>
                </c:pt>
                <c:pt idx="5">
                  <c:v>-57711.683115027961</c:v>
                </c:pt>
                <c:pt idx="6">
                  <c:v>101811.93954951043</c:v>
                </c:pt>
                <c:pt idx="7">
                  <c:v>362896.95789791364</c:v>
                </c:pt>
                <c:pt idx="8">
                  <c:v>835909.86527266237</c:v>
                </c:pt>
                <c:pt idx="9">
                  <c:v>1397858.4668228482</c:v>
                </c:pt>
                <c:pt idx="10">
                  <c:v>2115951.9111655443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A-4B02-B23D-38E2D316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65632"/>
        <c:axId val="48493632"/>
      </c:lineChart>
      <c:catAx>
        <c:axId val="176965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3632"/>
        <c:crosses val="autoZero"/>
        <c:auto val="1"/>
        <c:lblAlgn val="ctr"/>
        <c:lblOffset val="100"/>
        <c:noMultiLvlLbl val="0"/>
      </c:catAx>
      <c:valAx>
        <c:axId val="4849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6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66675</xdr:colOff>
      <xdr:row>13</xdr:row>
      <xdr:rowOff>142875</xdr:rowOff>
    </xdr:to>
    <xdr:grpSp>
      <xdr:nvGrpSpPr>
        <xdr:cNvPr id="2" name="RectangleTop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11020426" cy="2289175"/>
          <a:chOff x="0" y="0"/>
          <a:chExt cx="1106" cy="263"/>
        </a:xfrm>
      </xdr:grpSpPr>
      <xdr:sp macro="" textlink="">
        <xdr:nvSpPr>
          <xdr:cNvPr id="3" name="RectangleTop" hidden="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106" cy="263"/>
          </a:xfrm>
          <a:prstGeom prst="rect">
            <a:avLst/>
          </a:prstGeom>
          <a:solidFill>
            <a:srgbClr val="4367C5"/>
          </a:solidFill>
          <a:ln w="9525">
            <a:solidFill>
              <a:srgbClr val="00A3BB"/>
            </a:solidFill>
            <a:miter lim="800000"/>
            <a:headEnd/>
            <a:tailEnd/>
          </a:ln>
        </xdr:spPr>
      </xdr:sp>
      <xdr:pic>
        <xdr:nvPicPr>
          <xdr:cNvPr id="4" name="Picture 3" descr="flag" hidden="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31" y="0"/>
            <a:ext cx="275" cy="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0</xdr:colOff>
      <xdr:row>26</xdr:row>
      <xdr:rowOff>28575</xdr:rowOff>
    </xdr:from>
    <xdr:to>
      <xdr:col>21</xdr:col>
      <xdr:colOff>66675</xdr:colOff>
      <xdr:row>40</xdr:row>
      <xdr:rowOff>0</xdr:rowOff>
    </xdr:to>
    <xdr:grpSp>
      <xdr:nvGrpSpPr>
        <xdr:cNvPr id="5" name="RectangleBottom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0" y="5083175"/>
          <a:ext cx="11020426" cy="2289176"/>
          <a:chOff x="0" y="509"/>
          <a:chExt cx="1106" cy="270"/>
        </a:xfrm>
      </xdr:grpSpPr>
      <xdr:sp macro="" textlink="">
        <xdr:nvSpPr>
          <xdr:cNvPr id="6" name="RectangleBottom" hidden="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517"/>
            <a:ext cx="1106" cy="262"/>
          </a:xfrm>
          <a:prstGeom prst="rect">
            <a:avLst/>
          </a:prstGeom>
          <a:solidFill>
            <a:srgbClr val="4367C5"/>
          </a:solidFill>
          <a:ln w="9525">
            <a:solidFill>
              <a:srgbClr val="00A3BB"/>
            </a:solidFill>
            <a:miter lim="800000"/>
            <a:headEnd/>
            <a:tailEnd/>
          </a:ln>
        </xdr:spPr>
      </xdr:sp>
      <xdr:sp macro="" textlink="">
        <xdr:nvSpPr>
          <xdr:cNvPr id="7" name="Rectangle 6" hidden="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509"/>
            <a:ext cx="1106" cy="45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8" name="Picture 7" hidden="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12" y="516"/>
            <a:ext cx="28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9525</xdr:colOff>
      <xdr:row>11</xdr:row>
      <xdr:rowOff>104775</xdr:rowOff>
    </xdr:from>
    <xdr:to>
      <xdr:col>19</xdr:col>
      <xdr:colOff>186554</xdr:colOff>
      <xdr:row>35</xdr:row>
      <xdr:rowOff>114300</xdr:rowOff>
    </xdr:to>
    <xdr:grpSp>
      <xdr:nvGrpSpPr>
        <xdr:cNvPr id="9" name="Group 2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9525" y="1920875"/>
          <a:ext cx="10394180" cy="4733925"/>
          <a:chOff x="1" y="199"/>
          <a:chExt cx="1011" cy="489"/>
        </a:xfrm>
      </xdr:grpSpPr>
      <xdr:sp macro="" textlink="">
        <xdr:nvSpPr>
          <xdr:cNvPr id="10" name="Freeform 9" hidden="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gray">
          <a:xfrm>
            <a:off x="362" y="199"/>
            <a:ext cx="650" cy="324"/>
          </a:xfrm>
          <a:custGeom>
            <a:avLst/>
            <a:gdLst>
              <a:gd name="T0" fmla="*/ 0 w 11343"/>
              <a:gd name="T1" fmla="*/ 0 h 5024"/>
              <a:gd name="T2" fmla="*/ 0 w 11343"/>
              <a:gd name="T3" fmla="*/ 0 h 5024"/>
              <a:gd name="T4" fmla="*/ 0 w 11343"/>
              <a:gd name="T5" fmla="*/ 0 h 5024"/>
              <a:gd name="T6" fmla="*/ 0 w 11343"/>
              <a:gd name="T7" fmla="*/ 0 h 5024"/>
              <a:gd name="T8" fmla="*/ 0 60000 65536"/>
              <a:gd name="T9" fmla="*/ 0 60000 65536"/>
              <a:gd name="T10" fmla="*/ 0 60000 65536"/>
              <a:gd name="T11" fmla="*/ 0 60000 65536"/>
              <a:gd name="T12" fmla="*/ 0 w 11343"/>
              <a:gd name="T13" fmla="*/ 0 h 5024"/>
              <a:gd name="T14" fmla="*/ 11343 w 11343"/>
              <a:gd name="T15" fmla="*/ 5024 h 502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1343" h="5024">
                <a:moveTo>
                  <a:pt x="0" y="5024"/>
                </a:moveTo>
                <a:lnTo>
                  <a:pt x="11333" y="0"/>
                </a:lnTo>
                <a:lnTo>
                  <a:pt x="11343" y="1678"/>
                </a:lnTo>
                <a:lnTo>
                  <a:pt x="0" y="5024"/>
                </a:lnTo>
                <a:close/>
              </a:path>
            </a:pathLst>
          </a:custGeom>
          <a:solidFill>
            <a:srgbClr val="FFE6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" name="AutoShape 10" descr="Std_Motion_Input_used for cover input" hidden="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81" y="408"/>
            <a:ext cx="200" cy="359"/>
          </a:xfrm>
          <a:prstGeom prst="triangle">
            <a:avLst>
              <a:gd name="adj" fmla="val 17750"/>
            </a:avLst>
          </a:prstGeom>
          <a:blipFill dpi="0" rotWithShape="0">
            <a:blip xmlns:r="http://schemas.openxmlformats.org/officeDocument/2006/relationships" r:embed="rId3" cstate="print"/>
            <a:srcRect/>
            <a:stretch>
              <a:fillRect b="-78915"/>
            </a:stretch>
          </a:blipFill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1200" b="0" i="0" strike="noStrike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n-US" sz="1200" b="0" i="0" strike="noStrike">
              <a:solidFill>
                <a:srgbClr val="000000"/>
              </a:solidFill>
              <a:latin typeface="Arial Narrow"/>
            </a:endParaRPr>
          </a:p>
        </xdr:txBody>
      </xdr:sp>
    </xdr:grpSp>
    <xdr:clientData/>
  </xdr:twoCellAnchor>
  <xdr:twoCellAnchor>
    <xdr:from>
      <xdr:col>7</xdr:col>
      <xdr:colOff>34925</xdr:colOff>
      <xdr:row>36</xdr:row>
      <xdr:rowOff>34925</xdr:rowOff>
    </xdr:from>
    <xdr:to>
      <xdr:col>10</xdr:col>
      <xdr:colOff>320675</xdr:colOff>
      <xdr:row>38</xdr:row>
      <xdr:rowOff>98425</xdr:rowOff>
    </xdr:to>
    <xdr:pic>
      <xdr:nvPicPr>
        <xdr:cNvPr id="12" name="Picture 1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5825" y="6626225"/>
          <a:ext cx="1800225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381000</xdr:colOff>
      <xdr:row>22</xdr:row>
      <xdr:rowOff>54430</xdr:rowOff>
    </xdr:from>
    <xdr:to>
      <xdr:col>26</xdr:col>
      <xdr:colOff>367393</xdr:colOff>
      <xdr:row>29</xdr:row>
      <xdr:rowOff>61232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646714" y="4395109"/>
          <a:ext cx="10014858" cy="1149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0" i="0" u="none" strike="noStrike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This DOPN model describes the processes and interactions between all stakeholder</a:t>
          </a:r>
          <a:r>
            <a:rPr lang="en-GB" sz="1200" b="0" i="0" u="none" strike="noStrike" baseline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 groups in final-mile ecommerce parcel delivery</a:t>
          </a:r>
          <a:r>
            <a:rPr lang="en-GB" sz="1200" b="0" i="0" u="none" strike="noStrike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. Several hundred key variables (highlighted in yellow) enable testing of assumptions to show relative impacts on value for each group (consumers, etailers, carriers, PUDO/locker networks, local carriers and communities). </a:t>
          </a:r>
          <a:r>
            <a:rPr lang="en-GB" sz="1200" b="0" i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The model is intended for use by any party interested in evaluating options for an open, cooperative Click&amp;Collect network. It is open-source and publicly</a:t>
          </a:r>
          <a:r>
            <a:rPr lang="en-GB" sz="1200" b="0" i="0" baseline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 available. YorBox can take no responsibility for any incorrect information presented. Quantitative information is based on a range of sources and assumptions and therefore is subject to a degree of judgement. </a:t>
          </a:r>
          <a:r>
            <a:rPr lang="en-GB" sz="1200" b="0" i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For further information or contact details go to  www.yorbox.com    </a:t>
          </a:r>
          <a:endParaRPr lang="en-GB" sz="1200" b="1">
            <a:solidFill>
              <a:schemeClr val="tx2">
                <a:lumMod val="60000"/>
                <a:lumOff val="40000"/>
              </a:schemeClr>
            </a:solidFill>
            <a:effectLst/>
          </a:endParaRPr>
        </a:p>
        <a:p>
          <a:endParaRPr lang="en-GB" sz="1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121708</xdr:colOff>
      <xdr:row>5</xdr:row>
      <xdr:rowOff>33339</xdr:rowOff>
    </xdr:from>
    <xdr:to>
      <xdr:col>4</xdr:col>
      <xdr:colOff>597958</xdr:colOff>
      <xdr:row>6</xdr:row>
      <xdr:rowOff>5291</xdr:rowOff>
    </xdr:to>
    <xdr:sp macro="" textlink="">
      <xdr:nvSpPr>
        <xdr:cNvPr id="2" name="Chevron 28">
          <a:extLst>
            <a:ext uri="{FF2B5EF4-FFF2-40B4-BE49-F238E27FC236}">
              <a16:creationId xmlns:a16="http://schemas.microsoft.com/office/drawing/2014/main" id="{09D77CB1-ED9E-4D36-9F5A-93EFE2306CC8}"/>
            </a:ext>
          </a:extLst>
        </xdr:cNvPr>
        <xdr:cNvSpPr/>
      </xdr:nvSpPr>
      <xdr:spPr>
        <a:xfrm>
          <a:off x="2912533" y="1023939"/>
          <a:ext cx="476250" cy="200552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12</xdr:col>
      <xdr:colOff>52917</xdr:colOff>
      <xdr:row>5</xdr:row>
      <xdr:rowOff>10584</xdr:rowOff>
    </xdr:from>
    <xdr:to>
      <xdr:col>12</xdr:col>
      <xdr:colOff>529167</xdr:colOff>
      <xdr:row>5</xdr:row>
      <xdr:rowOff>210078</xdr:rowOff>
    </xdr:to>
    <xdr:sp macro="" textlink="">
      <xdr:nvSpPr>
        <xdr:cNvPr id="3" name="Chevron 28">
          <a:extLst>
            <a:ext uri="{FF2B5EF4-FFF2-40B4-BE49-F238E27FC236}">
              <a16:creationId xmlns:a16="http://schemas.microsoft.com/office/drawing/2014/main" id="{480490FD-A4AA-4884-8062-EBAC63A6CAEA}"/>
            </a:ext>
          </a:extLst>
        </xdr:cNvPr>
        <xdr:cNvSpPr/>
      </xdr:nvSpPr>
      <xdr:spPr>
        <a:xfrm>
          <a:off x="8525405" y="1001184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6</xdr:col>
      <xdr:colOff>100542</xdr:colOff>
      <xdr:row>5</xdr:row>
      <xdr:rowOff>10584</xdr:rowOff>
    </xdr:from>
    <xdr:to>
      <xdr:col>6</xdr:col>
      <xdr:colOff>576792</xdr:colOff>
      <xdr:row>5</xdr:row>
      <xdr:rowOff>210078</xdr:rowOff>
    </xdr:to>
    <xdr:sp macro="" textlink="">
      <xdr:nvSpPr>
        <xdr:cNvPr id="4" name="Chevron 28">
          <a:extLst>
            <a:ext uri="{FF2B5EF4-FFF2-40B4-BE49-F238E27FC236}">
              <a16:creationId xmlns:a16="http://schemas.microsoft.com/office/drawing/2014/main" id="{274206CD-F454-4BD5-9C70-37358945F286}"/>
            </a:ext>
          </a:extLst>
        </xdr:cNvPr>
        <xdr:cNvSpPr/>
      </xdr:nvSpPr>
      <xdr:spPr>
        <a:xfrm>
          <a:off x="4210580" y="1001184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8</xdr:col>
      <xdr:colOff>121709</xdr:colOff>
      <xdr:row>5</xdr:row>
      <xdr:rowOff>5292</xdr:rowOff>
    </xdr:from>
    <xdr:to>
      <xdr:col>8</xdr:col>
      <xdr:colOff>597959</xdr:colOff>
      <xdr:row>5</xdr:row>
      <xdr:rowOff>204786</xdr:rowOff>
    </xdr:to>
    <xdr:sp macro="" textlink="">
      <xdr:nvSpPr>
        <xdr:cNvPr id="5" name="Chevron 28">
          <a:extLst>
            <a:ext uri="{FF2B5EF4-FFF2-40B4-BE49-F238E27FC236}">
              <a16:creationId xmlns:a16="http://schemas.microsoft.com/office/drawing/2014/main" id="{B4E62387-7474-4735-A8AE-08E8796A22C4}"/>
            </a:ext>
          </a:extLst>
        </xdr:cNvPr>
        <xdr:cNvSpPr/>
      </xdr:nvSpPr>
      <xdr:spPr>
        <a:xfrm>
          <a:off x="5660497" y="995892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10</xdr:col>
      <xdr:colOff>116416</xdr:colOff>
      <xdr:row>5</xdr:row>
      <xdr:rowOff>15875</xdr:rowOff>
    </xdr:from>
    <xdr:to>
      <xdr:col>10</xdr:col>
      <xdr:colOff>592666</xdr:colOff>
      <xdr:row>5</xdr:row>
      <xdr:rowOff>215369</xdr:rowOff>
    </xdr:to>
    <xdr:sp macro="" textlink="">
      <xdr:nvSpPr>
        <xdr:cNvPr id="6" name="Chevron 28">
          <a:extLst>
            <a:ext uri="{FF2B5EF4-FFF2-40B4-BE49-F238E27FC236}">
              <a16:creationId xmlns:a16="http://schemas.microsoft.com/office/drawing/2014/main" id="{85E2B160-9030-419D-8D19-C5AA9B0C9993}"/>
            </a:ext>
          </a:extLst>
        </xdr:cNvPr>
        <xdr:cNvSpPr/>
      </xdr:nvSpPr>
      <xdr:spPr>
        <a:xfrm>
          <a:off x="7103004" y="1006475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48845</xdr:colOff>
      <xdr:row>1</xdr:row>
      <xdr:rowOff>30528</xdr:rowOff>
    </xdr:from>
    <xdr:to>
      <xdr:col>56</xdr:col>
      <xdr:colOff>549517</xdr:colOff>
      <xdr:row>22</xdr:row>
      <xdr:rowOff>168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078CE0-9552-4480-BC2C-4EB57E74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54855" y="256442"/>
          <a:ext cx="5678365" cy="3813748"/>
        </a:xfrm>
        <a:prstGeom prst="rect">
          <a:avLst/>
        </a:prstGeom>
      </xdr:spPr>
    </xdr:pic>
    <xdr:clientData/>
  </xdr:twoCellAnchor>
  <xdr:twoCellAnchor editAs="oneCell">
    <xdr:from>
      <xdr:col>11</xdr:col>
      <xdr:colOff>73269</xdr:colOff>
      <xdr:row>120</xdr:row>
      <xdr:rowOff>-1</xdr:rowOff>
    </xdr:from>
    <xdr:to>
      <xdr:col>21</xdr:col>
      <xdr:colOff>581439</xdr:colOff>
      <xdr:row>157</xdr:row>
      <xdr:rowOff>76688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DD64065-F23B-4FF8-B808-A19F608E6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5366" y="22801384"/>
          <a:ext cx="8765611" cy="6916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593766</xdr:colOff>
      <xdr:row>20</xdr:row>
      <xdr:rowOff>6183</xdr:rowOff>
    </xdr:from>
    <xdr:to>
      <xdr:col>19</xdr:col>
      <xdr:colOff>145968</xdr:colOff>
      <xdr:row>37</xdr:row>
      <xdr:rowOff>43294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0B6031-88BD-4CF0-B323-7EA023BA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121708</xdr:colOff>
      <xdr:row>5</xdr:row>
      <xdr:rowOff>33339</xdr:rowOff>
    </xdr:from>
    <xdr:to>
      <xdr:col>4</xdr:col>
      <xdr:colOff>597958</xdr:colOff>
      <xdr:row>6</xdr:row>
      <xdr:rowOff>5291</xdr:rowOff>
    </xdr:to>
    <xdr:sp macro="" textlink="">
      <xdr:nvSpPr>
        <xdr:cNvPr id="29" name="Chevron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/>
      </xdr:nvSpPr>
      <xdr:spPr>
        <a:xfrm>
          <a:off x="2905125" y="1017589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12</xdr:col>
      <xdr:colOff>52917</xdr:colOff>
      <xdr:row>5</xdr:row>
      <xdr:rowOff>10584</xdr:rowOff>
    </xdr:from>
    <xdr:to>
      <xdr:col>12</xdr:col>
      <xdr:colOff>529167</xdr:colOff>
      <xdr:row>5</xdr:row>
      <xdr:rowOff>210078</xdr:rowOff>
    </xdr:to>
    <xdr:sp macro="" textlink="">
      <xdr:nvSpPr>
        <xdr:cNvPr id="7" name="Chevron 28">
          <a:extLst>
            <a:ext uri="{FF2B5EF4-FFF2-40B4-BE49-F238E27FC236}">
              <a16:creationId xmlns:a16="http://schemas.microsoft.com/office/drawing/2014/main" id="{EA301A9C-5D8B-47D3-9844-3A685709332F}"/>
            </a:ext>
          </a:extLst>
        </xdr:cNvPr>
        <xdr:cNvSpPr/>
      </xdr:nvSpPr>
      <xdr:spPr>
        <a:xfrm>
          <a:off x="8509000" y="994834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6</xdr:col>
      <xdr:colOff>100542</xdr:colOff>
      <xdr:row>5</xdr:row>
      <xdr:rowOff>10584</xdr:rowOff>
    </xdr:from>
    <xdr:to>
      <xdr:col>6</xdr:col>
      <xdr:colOff>576792</xdr:colOff>
      <xdr:row>5</xdr:row>
      <xdr:rowOff>210078</xdr:rowOff>
    </xdr:to>
    <xdr:sp macro="" textlink="">
      <xdr:nvSpPr>
        <xdr:cNvPr id="8" name="Chevron 28">
          <a:extLst>
            <a:ext uri="{FF2B5EF4-FFF2-40B4-BE49-F238E27FC236}">
              <a16:creationId xmlns:a16="http://schemas.microsoft.com/office/drawing/2014/main" id="{D30F8E10-88F5-4C9A-9B4D-222AE6F3D226}"/>
            </a:ext>
          </a:extLst>
        </xdr:cNvPr>
        <xdr:cNvSpPr/>
      </xdr:nvSpPr>
      <xdr:spPr>
        <a:xfrm>
          <a:off x="4201584" y="994834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8</xdr:col>
      <xdr:colOff>121709</xdr:colOff>
      <xdr:row>5</xdr:row>
      <xdr:rowOff>5292</xdr:rowOff>
    </xdr:from>
    <xdr:to>
      <xdr:col>8</xdr:col>
      <xdr:colOff>597959</xdr:colOff>
      <xdr:row>5</xdr:row>
      <xdr:rowOff>204786</xdr:rowOff>
    </xdr:to>
    <xdr:sp macro="" textlink="">
      <xdr:nvSpPr>
        <xdr:cNvPr id="9" name="Chevron 28">
          <a:extLst>
            <a:ext uri="{FF2B5EF4-FFF2-40B4-BE49-F238E27FC236}">
              <a16:creationId xmlns:a16="http://schemas.microsoft.com/office/drawing/2014/main" id="{CEF14B0D-FA37-471B-A5CD-A10FF5183003}"/>
            </a:ext>
          </a:extLst>
        </xdr:cNvPr>
        <xdr:cNvSpPr/>
      </xdr:nvSpPr>
      <xdr:spPr>
        <a:xfrm>
          <a:off x="5651501" y="989542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  <xdr:twoCellAnchor>
    <xdr:from>
      <xdr:col>10</xdr:col>
      <xdr:colOff>116416</xdr:colOff>
      <xdr:row>5</xdr:row>
      <xdr:rowOff>15875</xdr:rowOff>
    </xdr:from>
    <xdr:to>
      <xdr:col>10</xdr:col>
      <xdr:colOff>592666</xdr:colOff>
      <xdr:row>5</xdr:row>
      <xdr:rowOff>215369</xdr:rowOff>
    </xdr:to>
    <xdr:sp macro="" textlink="">
      <xdr:nvSpPr>
        <xdr:cNvPr id="10" name="Chevron 28">
          <a:extLst>
            <a:ext uri="{FF2B5EF4-FFF2-40B4-BE49-F238E27FC236}">
              <a16:creationId xmlns:a16="http://schemas.microsoft.com/office/drawing/2014/main" id="{9BD0718B-BD3E-45F1-8BA8-B22CEE40E86D}"/>
            </a:ext>
          </a:extLst>
        </xdr:cNvPr>
        <xdr:cNvSpPr/>
      </xdr:nvSpPr>
      <xdr:spPr>
        <a:xfrm>
          <a:off x="7090833" y="1000125"/>
          <a:ext cx="476250" cy="199494"/>
        </a:xfrm>
        <a:prstGeom prst="chevron">
          <a:avLst/>
        </a:prstGeom>
        <a:solidFill>
          <a:schemeClr val="tx2">
            <a:lumMod val="40000"/>
            <a:lumOff val="60000"/>
          </a:scheme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endParaRPr lang="en-GB" sz="1200">
            <a:solidFill>
              <a:sysClr val="window" lastClr="FFFF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JohnBrown@hot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0"/>
  <sheetViews>
    <sheetView showGridLines="0" zoomScale="75" zoomScaleNormal="75" workbookViewId="0"/>
  </sheetViews>
  <sheetFormatPr defaultColWidth="7.59765625" defaultRowHeight="14.25" x14ac:dyDescent="0.45"/>
  <cols>
    <col min="1" max="6" width="7.59765625" style="22" customWidth="1"/>
    <col min="7" max="7" width="5.3984375" style="22" customWidth="1"/>
    <col min="8" max="19" width="7.59765625" style="22" customWidth="1"/>
    <col min="20" max="20" width="4.3984375" style="22" customWidth="1"/>
    <col min="21" max="21" width="5.86328125" style="22" customWidth="1"/>
    <col min="22" max="22" width="2.73046875" style="22" customWidth="1"/>
    <col min="23" max="16384" width="7.59765625" style="22"/>
  </cols>
  <sheetData>
    <row r="1" spans="1:22" ht="12.75" customHeight="1" x14ac:dyDescent="0.4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54"/>
      <c r="T1" s="54"/>
    </row>
    <row r="2" spans="1:22" ht="12.75" customHeight="1" x14ac:dyDescent="0.6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  <c r="R2" s="58"/>
      <c r="S2" s="32"/>
      <c r="T2" s="32"/>
      <c r="U2" s="32"/>
      <c r="V2" s="32"/>
    </row>
    <row r="3" spans="1:22" ht="12.75" customHeight="1" x14ac:dyDescent="0.45">
      <c r="A3" s="59"/>
      <c r="B3" s="60"/>
      <c r="C3" s="60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/>
      <c r="R3" s="57"/>
      <c r="S3" s="32"/>
      <c r="T3" s="32"/>
      <c r="U3" s="32"/>
      <c r="V3" s="32"/>
    </row>
    <row r="4" spans="1:22" ht="12.75" customHeight="1" x14ac:dyDescent="0.45">
      <c r="A4" s="59"/>
      <c r="B4" s="60"/>
      <c r="C4" s="60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57"/>
      <c r="S4" s="32"/>
      <c r="T4" s="32"/>
      <c r="U4" s="32"/>
      <c r="V4" s="32"/>
    </row>
    <row r="5" spans="1:22" ht="12.75" customHeight="1" x14ac:dyDescent="0.45">
      <c r="A5" s="59"/>
      <c r="B5" s="60"/>
      <c r="C5" s="60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  <c r="R5" s="57"/>
      <c r="S5" s="32"/>
      <c r="T5" s="32"/>
      <c r="U5" s="32"/>
      <c r="V5" s="32"/>
    </row>
    <row r="6" spans="1:22" ht="12.75" customHeight="1" x14ac:dyDescent="0.45">
      <c r="A6" s="63"/>
      <c r="B6" s="63"/>
      <c r="C6" s="63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56"/>
      <c r="S6" s="32"/>
      <c r="T6" s="32"/>
      <c r="U6" s="32"/>
      <c r="V6" s="32"/>
    </row>
    <row r="7" spans="1:22" ht="12.75" customHeight="1" x14ac:dyDescent="0.45">
      <c r="A7" s="60"/>
      <c r="B7" s="60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57"/>
      <c r="S7" s="32"/>
      <c r="T7" s="32"/>
      <c r="U7" s="32"/>
      <c r="V7" s="32"/>
    </row>
    <row r="8" spans="1:22" ht="12.75" customHeight="1" x14ac:dyDescent="0.45">
      <c r="A8" s="60"/>
      <c r="B8" s="60"/>
      <c r="C8" s="68"/>
      <c r="D8" s="67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7"/>
      <c r="S8" s="32"/>
      <c r="T8" s="32"/>
      <c r="U8" s="32"/>
      <c r="V8" s="32"/>
    </row>
    <row r="9" spans="1:22" ht="12.75" customHeight="1" x14ac:dyDescent="0.45">
      <c r="A9" s="32"/>
      <c r="B9" s="32"/>
      <c r="C9" s="32"/>
      <c r="D9" s="32"/>
      <c r="E9" s="32"/>
      <c r="F9" s="32"/>
      <c r="G9" s="32"/>
      <c r="H9" s="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1:22" ht="12.75" customHeight="1" x14ac:dyDescent="0.4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12.75" customHeight="1" x14ac:dyDescent="0.5">
      <c r="A11" s="69"/>
      <c r="B11" s="69"/>
      <c r="C11" s="70"/>
      <c r="D11" s="7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57"/>
      <c r="S11" s="32"/>
      <c r="T11" s="32"/>
      <c r="U11" s="32"/>
      <c r="V11" s="32"/>
    </row>
    <row r="12" spans="1:22" ht="12.75" customHeight="1" x14ac:dyDescent="0.45">
      <c r="A12" s="69"/>
      <c r="B12" s="69"/>
      <c r="C12" s="70"/>
      <c r="D12" s="72"/>
      <c r="E12" s="2"/>
      <c r="F12" s="2"/>
      <c r="G12" s="2"/>
      <c r="I12" s="2"/>
      <c r="J12" s="2"/>
      <c r="K12" s="2"/>
      <c r="L12" s="2"/>
      <c r="M12" s="2"/>
      <c r="N12" s="2"/>
      <c r="O12" s="2"/>
      <c r="P12" s="2"/>
      <c r="Q12" s="2"/>
      <c r="R12" s="57"/>
      <c r="S12" s="32"/>
      <c r="T12" s="32"/>
      <c r="U12" s="32"/>
      <c r="V12" s="32"/>
    </row>
    <row r="13" spans="1:22" ht="12.75" customHeight="1" x14ac:dyDescent="0.45">
      <c r="A13" s="69"/>
      <c r="B13" s="69"/>
      <c r="C13" s="70"/>
      <c r="D13" s="73"/>
      <c r="E13" s="2"/>
      <c r="F13" s="2"/>
      <c r="G13" s="32"/>
      <c r="H13" s="32"/>
      <c r="I13" s="2"/>
      <c r="J13" s="2"/>
      <c r="K13" s="2"/>
      <c r="L13" s="2"/>
      <c r="M13" s="2"/>
      <c r="N13" s="2"/>
      <c r="O13" s="2"/>
      <c r="P13" s="2"/>
      <c r="Q13" s="2"/>
      <c r="R13" s="57"/>
      <c r="S13" s="32"/>
      <c r="T13" s="32"/>
      <c r="U13" s="32"/>
      <c r="V13" s="32"/>
    </row>
    <row r="14" spans="1:22" ht="12.75" customHeight="1" x14ac:dyDescent="0.45">
      <c r="A14" s="69"/>
      <c r="B14" s="69"/>
      <c r="C14" s="70"/>
      <c r="D14" s="74"/>
      <c r="E14" s="2"/>
      <c r="F14" s="2"/>
      <c r="G14" s="2"/>
      <c r="H14" s="81" t="s">
        <v>860</v>
      </c>
      <c r="I14" s="2"/>
      <c r="J14" s="2"/>
      <c r="K14" s="2"/>
      <c r="L14" s="2"/>
      <c r="M14" s="2"/>
      <c r="N14" s="2"/>
      <c r="O14" s="2"/>
      <c r="P14" s="2"/>
      <c r="Q14" s="2"/>
      <c r="R14" s="57"/>
      <c r="S14" s="32"/>
      <c r="T14" s="32"/>
      <c r="U14" s="32"/>
      <c r="V14" s="32"/>
    </row>
    <row r="15" spans="1:22" ht="24.95" customHeight="1" x14ac:dyDescent="0.45">
      <c r="A15" s="69"/>
      <c r="B15" s="69"/>
      <c r="C15" s="70"/>
      <c r="D15" s="75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  <c r="Q15" s="2"/>
      <c r="R15" s="57"/>
      <c r="S15" s="32"/>
      <c r="T15" s="32"/>
      <c r="U15" s="32"/>
      <c r="V15" s="32"/>
    </row>
    <row r="16" spans="1:22" ht="24.95" customHeight="1" x14ac:dyDescent="0.45">
      <c r="A16" s="69"/>
      <c r="B16" s="69"/>
      <c r="C16" s="70"/>
      <c r="D16" s="75"/>
      <c r="E16" s="2"/>
      <c r="F16" s="2"/>
      <c r="G16" s="2"/>
      <c r="H16" s="82" t="s">
        <v>859</v>
      </c>
      <c r="I16" s="76"/>
      <c r="J16" s="76"/>
      <c r="K16" s="76"/>
      <c r="L16" s="2"/>
      <c r="M16" s="2"/>
      <c r="N16" s="2"/>
      <c r="O16" s="2"/>
      <c r="P16" s="2"/>
      <c r="Q16" s="2"/>
      <c r="R16" s="57"/>
      <c r="S16" s="32"/>
      <c r="T16" s="32"/>
      <c r="U16" s="32"/>
      <c r="V16" s="32"/>
    </row>
    <row r="17" spans="1:22" ht="24.95" customHeight="1" x14ac:dyDescent="0.45">
      <c r="A17" s="69"/>
      <c r="B17" s="69"/>
      <c r="C17" s="70"/>
      <c r="D17" s="75"/>
      <c r="E17" s="2"/>
      <c r="F17" s="2"/>
      <c r="G17" s="2"/>
      <c r="L17" s="2"/>
      <c r="M17" s="2"/>
      <c r="N17" s="2"/>
      <c r="O17" s="2"/>
      <c r="P17" s="2"/>
      <c r="Q17" s="2"/>
      <c r="R17" s="57"/>
      <c r="S17" s="32"/>
      <c r="T17" s="32"/>
      <c r="U17" s="32"/>
      <c r="V17" s="32"/>
    </row>
    <row r="18" spans="1:22" ht="24.95" customHeight="1" x14ac:dyDescent="0.45">
      <c r="A18" s="77"/>
      <c r="B18" s="77"/>
      <c r="C18" s="70"/>
      <c r="D18" s="78"/>
      <c r="E18" s="79"/>
      <c r="F18" s="79"/>
      <c r="G18" s="79"/>
      <c r="H18" s="968" t="s">
        <v>853</v>
      </c>
      <c r="I18" s="969"/>
      <c r="J18" s="969"/>
      <c r="K18" s="969"/>
      <c r="L18" s="79"/>
      <c r="M18" s="79"/>
      <c r="N18" s="79"/>
      <c r="O18" s="79"/>
      <c r="P18" s="79"/>
      <c r="Q18" s="79"/>
      <c r="R18" s="57"/>
      <c r="S18" s="32"/>
      <c r="T18" s="32"/>
      <c r="U18" s="32"/>
      <c r="V18" s="32"/>
    </row>
    <row r="19" spans="1:22" ht="24.95" customHeight="1" x14ac:dyDescent="0.45">
      <c r="A19" s="69"/>
      <c r="B19" s="32"/>
      <c r="C19" s="69"/>
      <c r="D19" s="67"/>
      <c r="E19" s="76"/>
      <c r="F19" s="76"/>
      <c r="G19" s="76"/>
      <c r="H19" s="5" t="s">
        <v>861</v>
      </c>
      <c r="I19" s="32"/>
      <c r="J19" s="32"/>
      <c r="K19" s="32"/>
      <c r="L19" s="76"/>
      <c r="M19" s="76"/>
      <c r="N19" s="76"/>
      <c r="O19" s="76"/>
      <c r="P19" s="32"/>
      <c r="Q19" s="76"/>
      <c r="R19" s="57"/>
      <c r="S19" s="32"/>
      <c r="T19" s="32"/>
      <c r="U19" s="32"/>
      <c r="V19" s="32"/>
    </row>
    <row r="20" spans="1:22" ht="12.75" customHeight="1" x14ac:dyDescent="0.45">
      <c r="A20" s="69"/>
      <c r="B20" s="32"/>
      <c r="C20" s="32"/>
      <c r="D20" s="32"/>
      <c r="E20" s="32"/>
      <c r="F20" s="69"/>
      <c r="G20" s="69"/>
      <c r="H20" s="32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32"/>
      <c r="T20" s="32"/>
      <c r="U20" s="32"/>
      <c r="V20" s="32"/>
    </row>
    <row r="21" spans="1:22" ht="12.75" customHeight="1" x14ac:dyDescent="0.45">
      <c r="A21" s="69"/>
      <c r="B21" s="32"/>
      <c r="C21" s="32"/>
      <c r="D21" s="32"/>
      <c r="E21" s="32"/>
      <c r="F21" s="69"/>
      <c r="G21" s="69"/>
      <c r="H21" s="80"/>
      <c r="I21" s="32"/>
      <c r="J21" s="32"/>
      <c r="K21" s="32"/>
      <c r="L21" s="69"/>
      <c r="M21" s="69"/>
      <c r="N21" s="69"/>
      <c r="O21" s="69"/>
      <c r="P21" s="69"/>
      <c r="Q21" s="69"/>
      <c r="R21" s="69"/>
      <c r="S21" s="32"/>
      <c r="T21" s="32"/>
      <c r="U21" s="32"/>
      <c r="V21" s="32"/>
    </row>
    <row r="22" spans="1:22" ht="12.75" customHeight="1" x14ac:dyDescent="0.45">
      <c r="A22" s="69"/>
      <c r="B22" s="32"/>
      <c r="C22" s="32"/>
      <c r="D22" s="32"/>
      <c r="E22" s="32"/>
      <c r="F22" s="69"/>
      <c r="G22" s="69"/>
      <c r="H22" s="32"/>
      <c r="I22" s="32"/>
      <c r="J22" s="32"/>
      <c r="K22" s="32"/>
      <c r="L22" s="69"/>
      <c r="M22" s="69"/>
      <c r="N22" s="69"/>
      <c r="O22" s="69"/>
      <c r="P22" s="69"/>
      <c r="Q22" s="69"/>
      <c r="R22" s="69"/>
      <c r="S22" s="32"/>
      <c r="T22" s="32"/>
      <c r="U22" s="32"/>
      <c r="V22" s="32"/>
    </row>
    <row r="23" spans="1:22" ht="12.75" customHeight="1" x14ac:dyDescent="0.45">
      <c r="A23" s="69"/>
      <c r="B23" s="32"/>
      <c r="C23" s="32"/>
      <c r="D23" s="32"/>
      <c r="E23" s="32"/>
      <c r="F23" s="69"/>
      <c r="G23" s="69"/>
      <c r="H23" s="32"/>
      <c r="I23" s="32"/>
      <c r="J23" s="32"/>
      <c r="K23" s="32"/>
      <c r="L23" s="69"/>
      <c r="M23" s="69"/>
      <c r="N23" s="69"/>
      <c r="O23" s="69"/>
      <c r="P23" s="69"/>
      <c r="Q23" s="69"/>
      <c r="R23" s="69"/>
      <c r="S23" s="32"/>
      <c r="T23" s="32"/>
      <c r="U23" s="32"/>
      <c r="V23" s="32"/>
    </row>
    <row r="24" spans="1:22" ht="12.75" customHeight="1" x14ac:dyDescent="0.4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32"/>
      <c r="T24" s="32"/>
      <c r="U24" s="32"/>
      <c r="V24" s="32"/>
    </row>
    <row r="25" spans="1:22" ht="12.75" customHeight="1" x14ac:dyDescent="0.4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32"/>
      <c r="T25" s="32"/>
      <c r="U25" s="32"/>
      <c r="V25" s="32"/>
    </row>
    <row r="26" spans="1:22" ht="12.75" customHeight="1" x14ac:dyDescent="0.4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32"/>
      <c r="T26" s="32"/>
      <c r="U26" s="32"/>
      <c r="V26" s="32"/>
    </row>
    <row r="27" spans="1:22" ht="12.75" customHeight="1" x14ac:dyDescent="0.4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32"/>
      <c r="T27" s="32"/>
      <c r="U27" s="32"/>
      <c r="V27" s="32"/>
    </row>
    <row r="28" spans="1:22" ht="12.75" customHeight="1" x14ac:dyDescent="0.4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32"/>
      <c r="T28" s="32"/>
      <c r="U28" s="32"/>
      <c r="V28" s="32"/>
    </row>
    <row r="29" spans="1:22" ht="12.75" customHeight="1" x14ac:dyDescent="0.4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32"/>
      <c r="T29" s="32"/>
      <c r="U29" s="32"/>
      <c r="V29" s="32"/>
    </row>
    <row r="30" spans="1:22" ht="12.75" customHeight="1" x14ac:dyDescent="0.4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32"/>
      <c r="T30" s="32"/>
      <c r="U30" s="32"/>
      <c r="V30" s="32"/>
    </row>
    <row r="31" spans="1:22" ht="12.75" customHeight="1" x14ac:dyDescent="0.4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32"/>
      <c r="T31" s="32"/>
      <c r="U31" s="32"/>
      <c r="V31" s="32"/>
    </row>
    <row r="32" spans="1:22" ht="12.75" customHeight="1" x14ac:dyDescent="0.4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32"/>
      <c r="T32" s="32"/>
      <c r="U32" s="32"/>
      <c r="V32" s="32"/>
    </row>
    <row r="33" spans="1:22" ht="12.75" customHeight="1" x14ac:dyDescent="0.4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32"/>
      <c r="T33" s="32"/>
      <c r="U33" s="32"/>
      <c r="V33" s="32"/>
    </row>
    <row r="34" spans="1:22" ht="12.75" customHeight="1" x14ac:dyDescent="0.4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12.75" customHeight="1" x14ac:dyDescent="0.4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12.75" customHeight="1" x14ac:dyDescent="0.4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5" customHeight="1" x14ac:dyDescent="0.4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1:22" ht="12.75" customHeight="1" x14ac:dyDescent="0.4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1:22" ht="12.75" customHeight="1" x14ac:dyDescent="0.4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1:22" ht="12.75" customHeight="1" x14ac:dyDescent="0.4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</sheetData>
  <sheetProtection algorithmName="SHA-512" hashValue="vOrTC/3N2m2SMmUxeUeh8U5afeetLKM8ag6fVP5rcNrthuf9qTS+vlrUcJ01ku6swKMzarU6legAg53XjKvPjw==" saltValue="p/u8zFyxx467s2F2ui7APg==" spinCount="100000" sheet="1" objects="1" scenarios="1" selectLockedCells="1"/>
  <mergeCells count="1">
    <mergeCell ref="H18:K18"/>
  </mergeCells>
  <hyperlinks>
    <hyperlink ref="H19" r:id="rId1" xr:uid="{79C399F6-AB3F-4769-B4B3-6E37DF232408}"/>
  </hyperlinks>
  <pageMargins left="0.70866141732283472" right="0.70866141732283472" top="0.74803149606299213" bottom="0.74803149606299213" header="0.31496062992125984" footer="0.31496062992125984"/>
  <pageSetup paperSize="9" scale="68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67"/>
  <sheetViews>
    <sheetView zoomScale="75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7" sqref="B27"/>
    </sheetView>
  </sheetViews>
  <sheetFormatPr defaultRowHeight="14.25" x14ac:dyDescent="0.45"/>
  <cols>
    <col min="1" max="1" width="45.33203125" style="120" customWidth="1"/>
    <col min="2" max="2" width="13.73046875" style="120" customWidth="1"/>
    <col min="3" max="3" width="12.265625" style="120" customWidth="1"/>
    <col min="4" max="4" width="13.33203125" style="120" customWidth="1"/>
    <col min="5" max="6" width="12.73046875" style="120" customWidth="1"/>
    <col min="7" max="7" width="13" style="120" customWidth="1"/>
    <col min="8" max="8" width="12.46484375" style="120" customWidth="1"/>
    <col min="9" max="9" width="12.86328125" style="120" customWidth="1"/>
    <col min="10" max="10" width="11.86328125" style="120" customWidth="1"/>
    <col min="11" max="11" width="11.265625" style="612" customWidth="1"/>
    <col min="12" max="12" width="12.265625" style="120" customWidth="1"/>
    <col min="13" max="13" width="9.73046875" style="120" customWidth="1"/>
    <col min="14" max="16384" width="9.06640625" style="120"/>
  </cols>
  <sheetData>
    <row r="1" spans="1:14" ht="20.65" x14ac:dyDescent="0.6">
      <c r="A1" s="599" t="s">
        <v>464</v>
      </c>
      <c r="B1" s="600" t="str">
        <f>MKT!C1</f>
        <v>UK</v>
      </c>
    </row>
    <row r="2" spans="1:14" ht="17.649999999999999" x14ac:dyDescent="0.5">
      <c r="A2" s="601"/>
      <c r="B2" s="653"/>
    </row>
    <row r="4" spans="1:14" x14ac:dyDescent="0.45">
      <c r="A4" s="654"/>
      <c r="B4" s="654" t="s">
        <v>271</v>
      </c>
      <c r="C4" s="654" t="s">
        <v>9</v>
      </c>
      <c r="D4" s="654" t="s">
        <v>10</v>
      </c>
      <c r="E4" s="654" t="s">
        <v>11</v>
      </c>
      <c r="F4" s="654" t="s">
        <v>12</v>
      </c>
      <c r="G4" s="654" t="s">
        <v>13</v>
      </c>
      <c r="H4" s="654" t="s">
        <v>138</v>
      </c>
      <c r="I4" s="654" t="s">
        <v>139</v>
      </c>
      <c r="J4" s="654" t="s">
        <v>140</v>
      </c>
      <c r="K4" s="655" t="s">
        <v>141</v>
      </c>
      <c r="L4" s="654" t="s">
        <v>142</v>
      </c>
      <c r="N4" s="46"/>
    </row>
    <row r="5" spans="1:14" x14ac:dyDescent="0.45">
      <c r="A5" s="654"/>
      <c r="B5" s="654"/>
      <c r="C5" s="654">
        <v>1</v>
      </c>
      <c r="D5" s="654">
        <v>2</v>
      </c>
      <c r="E5" s="654">
        <v>3</v>
      </c>
      <c r="F5" s="654">
        <v>4</v>
      </c>
      <c r="G5" s="654">
        <v>5</v>
      </c>
      <c r="H5" s="654">
        <v>6</v>
      </c>
      <c r="I5" s="654">
        <v>7</v>
      </c>
      <c r="J5" s="654">
        <v>8</v>
      </c>
      <c r="K5" s="655">
        <v>9</v>
      </c>
      <c r="L5" s="654">
        <v>10</v>
      </c>
    </row>
    <row r="6" spans="1:14" x14ac:dyDescent="0.45">
      <c r="A6" s="633" t="s">
        <v>336</v>
      </c>
      <c r="B6" s="656"/>
      <c r="C6" s="656"/>
      <c r="D6" s="656"/>
      <c r="E6" s="656"/>
      <c r="F6" s="656"/>
      <c r="G6" s="656"/>
      <c r="H6" s="656"/>
      <c r="I6" s="656"/>
      <c r="J6" s="656"/>
      <c r="K6" s="657"/>
      <c r="L6" s="656"/>
    </row>
    <row r="7" spans="1:14" s="396" customFormat="1" x14ac:dyDescent="0.45">
      <c r="A7" s="532" t="s">
        <v>217</v>
      </c>
      <c r="B7" s="652"/>
      <c r="C7" s="658">
        <f>DOPN1!G44</f>
        <v>1.3933114965000002</v>
      </c>
      <c r="D7" s="658">
        <f>DOPN1!I44</f>
        <v>10.463282263035001</v>
      </c>
      <c r="E7" s="658">
        <f>DOPN1!K44</f>
        <v>42.696667243605638</v>
      </c>
      <c r="F7" s="658">
        <f>DOPN1!M44</f>
        <v>187.88024640962706</v>
      </c>
      <c r="G7" s="658">
        <f>DOPN1!O44</f>
        <v>530.90678455050511</v>
      </c>
      <c r="H7" s="658">
        <f>DOPN1!Q44</f>
        <v>776.95312382302996</v>
      </c>
      <c r="I7" s="658">
        <f>DOPN1!S44</f>
        <v>1088.7971437881463</v>
      </c>
      <c r="J7" s="658">
        <f>DOPN1!U44</f>
        <v>1331.2710021382727</v>
      </c>
      <c r="K7" s="659">
        <f>DOPN1!W44</f>
        <v>1602.319877031814</v>
      </c>
      <c r="L7" s="658">
        <f>DOPN1!Y44</f>
        <v>1904.7565804309545</v>
      </c>
    </row>
    <row r="8" spans="1:14" s="396" customFormat="1" x14ac:dyDescent="0.45">
      <c r="A8" s="532" t="s">
        <v>340</v>
      </c>
      <c r="B8" s="652"/>
      <c r="C8" s="660">
        <f>DOPN1!F44</f>
        <v>7039.1999999999989</v>
      </c>
      <c r="D8" s="660">
        <f>DOPN1!H44</f>
        <v>14078.399999999998</v>
      </c>
      <c r="E8" s="660">
        <f>DOPN1!J44</f>
        <v>21117.599999999999</v>
      </c>
      <c r="F8" s="660">
        <f>DOPN1!L44</f>
        <v>28156.799999999996</v>
      </c>
      <c r="G8" s="660">
        <f>DOPN1!N44</f>
        <v>35196</v>
      </c>
      <c r="H8" s="660">
        <f>DOPN1!P44</f>
        <v>42235.199999999997</v>
      </c>
      <c r="I8" s="660">
        <f>DOPN1!R44</f>
        <v>49274.400000000009</v>
      </c>
      <c r="J8" s="660">
        <f>DOPN1!T44</f>
        <v>56313.599999999991</v>
      </c>
      <c r="K8" s="660">
        <f>DOPN1!V44</f>
        <v>63352.800000000003</v>
      </c>
      <c r="L8" s="660">
        <f>DOPN1!X44</f>
        <v>70392</v>
      </c>
    </row>
    <row r="9" spans="1:14" s="396" customFormat="1" x14ac:dyDescent="0.45">
      <c r="A9" s="42" t="s">
        <v>865</v>
      </c>
      <c r="B9" s="652"/>
      <c r="C9" s="609">
        <v>7000</v>
      </c>
      <c r="D9" s="609">
        <v>12000</v>
      </c>
      <c r="E9" s="609">
        <v>12000</v>
      </c>
      <c r="F9" s="609">
        <v>12000</v>
      </c>
      <c r="G9" s="609">
        <v>12000</v>
      </c>
      <c r="H9" s="609">
        <v>12000</v>
      </c>
      <c r="I9" s="609">
        <v>10000</v>
      </c>
      <c r="J9" s="609">
        <v>5000</v>
      </c>
      <c r="K9" s="609">
        <v>5000</v>
      </c>
      <c r="L9" s="609">
        <v>5000</v>
      </c>
    </row>
    <row r="10" spans="1:14" s="408" customFormat="1" x14ac:dyDescent="0.45">
      <c r="A10" s="646" t="s">
        <v>866</v>
      </c>
      <c r="B10" s="647"/>
      <c r="C10" s="647">
        <f>C8-C9</f>
        <v>39.199999999998909</v>
      </c>
      <c r="D10" s="647">
        <f t="shared" ref="D10:L10" si="0">D8-D9</f>
        <v>2078.3999999999978</v>
      </c>
      <c r="E10" s="647">
        <f t="shared" si="0"/>
        <v>9117.5999999999985</v>
      </c>
      <c r="F10" s="647">
        <f t="shared" si="0"/>
        <v>16156.799999999996</v>
      </c>
      <c r="G10" s="647">
        <f t="shared" si="0"/>
        <v>23196</v>
      </c>
      <c r="H10" s="647">
        <f t="shared" si="0"/>
        <v>30235.199999999997</v>
      </c>
      <c r="I10" s="647">
        <f t="shared" si="0"/>
        <v>39274.400000000009</v>
      </c>
      <c r="J10" s="647">
        <f t="shared" si="0"/>
        <v>51313.599999999991</v>
      </c>
      <c r="K10" s="647">
        <f t="shared" si="0"/>
        <v>58352.800000000003</v>
      </c>
      <c r="L10" s="647">
        <f t="shared" si="0"/>
        <v>65392</v>
      </c>
    </row>
    <row r="11" spans="1:14" x14ac:dyDescent="0.45">
      <c r="A11" s="43"/>
      <c r="B11" s="628"/>
      <c r="C11" s="626"/>
      <c r="D11" s="626"/>
      <c r="E11" s="626"/>
      <c r="F11" s="626"/>
      <c r="G11" s="626"/>
      <c r="H11" s="626"/>
      <c r="I11" s="626"/>
      <c r="J11" s="626"/>
      <c r="K11" s="639"/>
      <c r="L11" s="626"/>
      <c r="N11" s="369"/>
    </row>
    <row r="12" spans="1:14" x14ac:dyDescent="0.45">
      <c r="A12" s="648" t="s">
        <v>184</v>
      </c>
      <c r="B12" s="628"/>
      <c r="C12" s="626"/>
      <c r="D12" s="626"/>
      <c r="E12" s="626"/>
      <c r="F12" s="626"/>
      <c r="G12" s="626"/>
      <c r="H12" s="626"/>
      <c r="I12" s="626"/>
      <c r="J12" s="626"/>
      <c r="K12" s="639"/>
      <c r="L12" s="626"/>
    </row>
    <row r="13" spans="1:14" x14ac:dyDescent="0.45">
      <c r="A13" s="43" t="s">
        <v>159</v>
      </c>
      <c r="B13" s="649">
        <f>'MKT2'!B20</f>
        <v>3.0900000000000007</v>
      </c>
      <c r="C13" s="650">
        <f>'MKT2'!D20</f>
        <v>3.0900000000000007</v>
      </c>
      <c r="D13" s="650">
        <f>'MKT2'!E20</f>
        <v>3.0900000000000007</v>
      </c>
      <c r="E13" s="650">
        <f>'MKT2'!F20</f>
        <v>3.0900000000000007</v>
      </c>
      <c r="F13" s="650">
        <f>'MKT2'!G20</f>
        <v>3.0900000000000007</v>
      </c>
      <c r="G13" s="650">
        <f>'MKT2'!H20</f>
        <v>3.0900000000000007</v>
      </c>
      <c r="H13" s="650">
        <f>'MKT2'!I20</f>
        <v>3.0900000000000007</v>
      </c>
      <c r="I13" s="650">
        <f>'MKT2'!J20</f>
        <v>3.0900000000000007</v>
      </c>
      <c r="J13" s="650">
        <f>'MKT2'!K20</f>
        <v>3.0900000000000007</v>
      </c>
      <c r="K13" s="651">
        <f>'MKT2'!L20</f>
        <v>3.0900000000000007</v>
      </c>
      <c r="L13" s="650">
        <f>'MKT2'!M20</f>
        <v>3.0900000000000007</v>
      </c>
    </row>
    <row r="14" spans="1:14" x14ac:dyDescent="0.45">
      <c r="A14" s="43" t="s">
        <v>417</v>
      </c>
      <c r="B14" s="645"/>
      <c r="C14" s="610">
        <v>0.5</v>
      </c>
      <c r="D14" s="610">
        <v>0.5</v>
      </c>
      <c r="E14" s="610">
        <v>0.5</v>
      </c>
      <c r="F14" s="610">
        <v>0.5</v>
      </c>
      <c r="G14" s="610">
        <v>0.5</v>
      </c>
      <c r="H14" s="610">
        <v>0.5</v>
      </c>
      <c r="I14" s="610">
        <v>0.5</v>
      </c>
      <c r="J14" s="610">
        <v>0.5</v>
      </c>
      <c r="K14" s="610">
        <v>0.5</v>
      </c>
      <c r="L14" s="610">
        <v>0.5</v>
      </c>
    </row>
    <row r="15" spans="1:14" x14ac:dyDescent="0.45">
      <c r="A15" s="43"/>
      <c r="B15" s="630"/>
      <c r="C15" s="643"/>
      <c r="D15" s="643"/>
      <c r="E15" s="643"/>
      <c r="F15" s="643"/>
      <c r="G15" s="631"/>
      <c r="H15" s="631"/>
      <c r="I15" s="631"/>
      <c r="J15" s="631"/>
      <c r="K15" s="632"/>
      <c r="L15" s="631"/>
    </row>
    <row r="16" spans="1:14" x14ac:dyDescent="0.45">
      <c r="A16" s="633" t="s">
        <v>160</v>
      </c>
      <c r="B16" s="644"/>
      <c r="C16" s="635"/>
      <c r="D16" s="635"/>
      <c r="E16" s="635"/>
      <c r="F16" s="635"/>
      <c r="G16" s="635"/>
      <c r="H16" s="635"/>
      <c r="I16" s="635"/>
      <c r="J16" s="635"/>
      <c r="K16" s="636"/>
      <c r="L16" s="635"/>
    </row>
    <row r="17" spans="1:13" x14ac:dyDescent="0.45">
      <c r="A17" s="43" t="s">
        <v>877</v>
      </c>
      <c r="B17" s="628"/>
      <c r="C17" s="626">
        <f t="shared" ref="C17:L17" si="1">C14*C7*1000</f>
        <v>696.6557482500001</v>
      </c>
      <c r="D17" s="626">
        <f t="shared" si="1"/>
        <v>5231.641131517501</v>
      </c>
      <c r="E17" s="626">
        <f t="shared" si="1"/>
        <v>21348.33362180282</v>
      </c>
      <c r="F17" s="626">
        <f t="shared" si="1"/>
        <v>93940.123204813528</v>
      </c>
      <c r="G17" s="626">
        <f t="shared" si="1"/>
        <v>265453.39227525255</v>
      </c>
      <c r="H17" s="626">
        <f t="shared" si="1"/>
        <v>388476.56191151496</v>
      </c>
      <c r="I17" s="626">
        <f t="shared" si="1"/>
        <v>544398.57189407316</v>
      </c>
      <c r="J17" s="626">
        <f t="shared" si="1"/>
        <v>665635.50106913631</v>
      </c>
      <c r="K17" s="639">
        <f t="shared" si="1"/>
        <v>801159.93851590704</v>
      </c>
      <c r="L17" s="626">
        <f t="shared" si="1"/>
        <v>952378.29021547723</v>
      </c>
    </row>
    <row r="18" spans="1:13" x14ac:dyDescent="0.45">
      <c r="A18" s="43" t="s">
        <v>878</v>
      </c>
      <c r="B18" s="628"/>
      <c r="C18" s="626"/>
      <c r="D18" s="626"/>
      <c r="E18" s="626"/>
      <c r="F18" s="626"/>
      <c r="G18" s="626"/>
      <c r="H18" s="626"/>
      <c r="I18" s="626"/>
      <c r="J18" s="626"/>
      <c r="K18" s="639"/>
      <c r="L18" s="626"/>
    </row>
    <row r="19" spans="1:13" s="396" customFormat="1" x14ac:dyDescent="0.45">
      <c r="A19" s="532" t="s">
        <v>879</v>
      </c>
      <c r="B19" s="596"/>
      <c r="C19" s="625">
        <f t="shared" ref="C19:L19" si="2">SUM(C17:C18)</f>
        <v>696.6557482500001</v>
      </c>
      <c r="D19" s="625">
        <f t="shared" si="2"/>
        <v>5231.641131517501</v>
      </c>
      <c r="E19" s="625">
        <f t="shared" si="2"/>
        <v>21348.33362180282</v>
      </c>
      <c r="F19" s="625">
        <f t="shared" si="2"/>
        <v>93940.123204813528</v>
      </c>
      <c r="G19" s="625">
        <f t="shared" si="2"/>
        <v>265453.39227525255</v>
      </c>
      <c r="H19" s="625">
        <f t="shared" si="2"/>
        <v>388476.56191151496</v>
      </c>
      <c r="I19" s="625">
        <f t="shared" si="2"/>
        <v>544398.57189407316</v>
      </c>
      <c r="J19" s="625">
        <f t="shared" si="2"/>
        <v>665635.50106913631</v>
      </c>
      <c r="K19" s="629">
        <f t="shared" si="2"/>
        <v>801159.93851590704</v>
      </c>
      <c r="L19" s="625">
        <f t="shared" si="2"/>
        <v>952378.29021547723</v>
      </c>
    </row>
    <row r="20" spans="1:13" x14ac:dyDescent="0.45">
      <c r="A20" s="43" t="s">
        <v>265</v>
      </c>
      <c r="B20" s="7">
        <v>0.01</v>
      </c>
      <c r="C20" s="641">
        <f t="shared" ref="C20:L20" si="3">C19*$B$20</f>
        <v>6.9665574825000007</v>
      </c>
      <c r="D20" s="641">
        <f t="shared" si="3"/>
        <v>52.31641131517501</v>
      </c>
      <c r="E20" s="641">
        <f t="shared" si="3"/>
        <v>213.4833362180282</v>
      </c>
      <c r="F20" s="641">
        <f t="shared" si="3"/>
        <v>939.40123204813528</v>
      </c>
      <c r="G20" s="641">
        <f t="shared" si="3"/>
        <v>2654.5339227525255</v>
      </c>
      <c r="H20" s="641">
        <f t="shared" si="3"/>
        <v>3884.7656191151495</v>
      </c>
      <c r="I20" s="641">
        <f t="shared" si="3"/>
        <v>5443.9857189407321</v>
      </c>
      <c r="J20" s="641">
        <f t="shared" si="3"/>
        <v>6656.3550106913635</v>
      </c>
      <c r="K20" s="641">
        <f t="shared" si="3"/>
        <v>8011.5993851590702</v>
      </c>
      <c r="L20" s="641">
        <f t="shared" si="3"/>
        <v>9523.7829021547732</v>
      </c>
    </row>
    <row r="21" spans="1:13" x14ac:dyDescent="0.45">
      <c r="A21" s="43"/>
      <c r="B21" s="33"/>
      <c r="C21" s="641"/>
      <c r="D21" s="641"/>
      <c r="E21" s="641"/>
      <c r="F21" s="641"/>
      <c r="G21" s="641"/>
      <c r="H21" s="641"/>
      <c r="I21" s="641"/>
      <c r="J21" s="641"/>
      <c r="K21" s="641"/>
      <c r="L21" s="641"/>
    </row>
    <row r="22" spans="1:13" s="396" customFormat="1" x14ac:dyDescent="0.45">
      <c r="A22" s="42" t="s">
        <v>185</v>
      </c>
      <c r="B22" s="385"/>
      <c r="C22" s="625"/>
      <c r="D22" s="625"/>
      <c r="E22" s="625"/>
      <c r="F22" s="625"/>
      <c r="G22" s="625"/>
      <c r="H22" s="625"/>
      <c r="I22" s="625"/>
      <c r="J22" s="625"/>
      <c r="K22" s="629"/>
      <c r="L22" s="625"/>
    </row>
    <row r="23" spans="1:13" x14ac:dyDescent="0.45">
      <c r="A23" s="43" t="s">
        <v>904</v>
      </c>
      <c r="B23" s="10">
        <v>500</v>
      </c>
      <c r="C23" s="626">
        <f>C10*$B$23/1000</f>
        <v>19.599999999999454</v>
      </c>
      <c r="D23" s="626">
        <f t="shared" ref="D23:L23" si="4">D10*$B$23/1000</f>
        <v>1039.1999999999989</v>
      </c>
      <c r="E23" s="626">
        <f t="shared" si="4"/>
        <v>4558.7999999999993</v>
      </c>
      <c r="F23" s="626">
        <f t="shared" si="4"/>
        <v>8078.3999999999978</v>
      </c>
      <c r="G23" s="626">
        <f t="shared" si="4"/>
        <v>11598</v>
      </c>
      <c r="H23" s="626">
        <f t="shared" si="4"/>
        <v>15117.599999999999</v>
      </c>
      <c r="I23" s="626">
        <f t="shared" si="4"/>
        <v>19637.200000000004</v>
      </c>
      <c r="J23" s="626">
        <f t="shared" si="4"/>
        <v>25656.799999999996</v>
      </c>
      <c r="K23" s="626">
        <f t="shared" si="4"/>
        <v>29176.400000000001</v>
      </c>
      <c r="L23" s="626">
        <f t="shared" si="4"/>
        <v>32696</v>
      </c>
    </row>
    <row r="24" spans="1:13" x14ac:dyDescent="0.45">
      <c r="A24" s="43" t="s">
        <v>862</v>
      </c>
      <c r="B24" s="10">
        <v>500</v>
      </c>
      <c r="C24" s="626">
        <f>$B$24*C10/1000</f>
        <v>19.599999999999454</v>
      </c>
      <c r="D24" s="626">
        <f t="shared" ref="D24:L24" si="5">$B$24*D10/1000</f>
        <v>1039.1999999999989</v>
      </c>
      <c r="E24" s="626">
        <f t="shared" si="5"/>
        <v>4558.7999999999993</v>
      </c>
      <c r="F24" s="626">
        <f t="shared" si="5"/>
        <v>8078.3999999999978</v>
      </c>
      <c r="G24" s="626">
        <f t="shared" si="5"/>
        <v>11598</v>
      </c>
      <c r="H24" s="626">
        <f t="shared" si="5"/>
        <v>15117.599999999999</v>
      </c>
      <c r="I24" s="626">
        <f t="shared" si="5"/>
        <v>19637.200000000004</v>
      </c>
      <c r="J24" s="626">
        <f t="shared" si="5"/>
        <v>25656.799999999996</v>
      </c>
      <c r="K24" s="626">
        <f t="shared" si="5"/>
        <v>29176.400000000001</v>
      </c>
      <c r="L24" s="626">
        <f t="shared" si="5"/>
        <v>32696</v>
      </c>
    </row>
    <row r="25" spans="1:13" x14ac:dyDescent="0.45">
      <c r="A25" s="43" t="s">
        <v>263</v>
      </c>
      <c r="B25" s="10">
        <v>250</v>
      </c>
      <c r="C25" s="626">
        <f>$B$25*C8/1000</f>
        <v>1759.7999999999997</v>
      </c>
      <c r="D25" s="626">
        <f t="shared" ref="D25:L25" si="6">$B$25*D8/1000</f>
        <v>3519.5999999999995</v>
      </c>
      <c r="E25" s="626">
        <f t="shared" si="6"/>
        <v>5279.4</v>
      </c>
      <c r="F25" s="626">
        <f t="shared" si="6"/>
        <v>7039.1999999999989</v>
      </c>
      <c r="G25" s="626">
        <f t="shared" si="6"/>
        <v>8799</v>
      </c>
      <c r="H25" s="626">
        <f t="shared" si="6"/>
        <v>10558.8</v>
      </c>
      <c r="I25" s="626">
        <f t="shared" si="6"/>
        <v>12318.600000000002</v>
      </c>
      <c r="J25" s="626">
        <f t="shared" si="6"/>
        <v>14078.399999999998</v>
      </c>
      <c r="K25" s="626">
        <f t="shared" si="6"/>
        <v>15838.2</v>
      </c>
      <c r="L25" s="626">
        <f t="shared" si="6"/>
        <v>17598</v>
      </c>
    </row>
    <row r="26" spans="1:13" x14ac:dyDescent="0.45">
      <c r="A26" s="43" t="s">
        <v>262</v>
      </c>
      <c r="B26" s="10">
        <v>250</v>
      </c>
      <c r="C26" s="626">
        <f>$B$26*C8/1000</f>
        <v>1759.7999999999997</v>
      </c>
      <c r="D26" s="626">
        <f t="shared" ref="D26:L26" si="7">$B$26*D8/1000</f>
        <v>3519.5999999999995</v>
      </c>
      <c r="E26" s="626">
        <f t="shared" si="7"/>
        <v>5279.4</v>
      </c>
      <c r="F26" s="626">
        <f t="shared" si="7"/>
        <v>7039.1999999999989</v>
      </c>
      <c r="G26" s="626">
        <f t="shared" si="7"/>
        <v>8799</v>
      </c>
      <c r="H26" s="626">
        <f t="shared" si="7"/>
        <v>10558.8</v>
      </c>
      <c r="I26" s="626">
        <f t="shared" si="7"/>
        <v>12318.600000000002</v>
      </c>
      <c r="J26" s="626">
        <f t="shared" si="7"/>
        <v>14078.399999999998</v>
      </c>
      <c r="K26" s="626">
        <f t="shared" si="7"/>
        <v>15838.2</v>
      </c>
      <c r="L26" s="626">
        <f t="shared" si="7"/>
        <v>17598</v>
      </c>
    </row>
    <row r="27" spans="1:13" x14ac:dyDescent="0.45">
      <c r="A27" s="43" t="s">
        <v>264</v>
      </c>
      <c r="B27" s="10">
        <v>2000000</v>
      </c>
      <c r="C27" s="626">
        <f>$B$27/1000</f>
        <v>2000</v>
      </c>
      <c r="D27" s="626">
        <f t="shared" ref="D27:L27" si="8">$B$27/1000</f>
        <v>2000</v>
      </c>
      <c r="E27" s="626">
        <f t="shared" si="8"/>
        <v>2000</v>
      </c>
      <c r="F27" s="626">
        <f t="shared" si="8"/>
        <v>2000</v>
      </c>
      <c r="G27" s="626">
        <f t="shared" si="8"/>
        <v>2000</v>
      </c>
      <c r="H27" s="626">
        <f t="shared" si="8"/>
        <v>2000</v>
      </c>
      <c r="I27" s="626">
        <f t="shared" si="8"/>
        <v>2000</v>
      </c>
      <c r="J27" s="626">
        <f t="shared" si="8"/>
        <v>2000</v>
      </c>
      <c r="K27" s="626">
        <f t="shared" si="8"/>
        <v>2000</v>
      </c>
      <c r="L27" s="626">
        <f t="shared" si="8"/>
        <v>2000</v>
      </c>
    </row>
    <row r="28" spans="1:13" x14ac:dyDescent="0.45">
      <c r="A28" s="43" t="s">
        <v>883</v>
      </c>
      <c r="B28" s="11">
        <v>0.5</v>
      </c>
      <c r="C28" s="626">
        <f>(C9/C8)*(C7*1000)*$B$28</f>
        <v>692.77620152147983</v>
      </c>
      <c r="D28" s="626">
        <f t="shared" ref="D28:L28" si="9">(D9/D8)*(D7*1000)*$B$28</f>
        <v>4459.2917929743453</v>
      </c>
      <c r="E28" s="626">
        <f t="shared" si="9"/>
        <v>12131.113548018422</v>
      </c>
      <c r="F28" s="626">
        <f t="shared" si="9"/>
        <v>40035.85203069108</v>
      </c>
      <c r="G28" s="626">
        <f t="shared" si="9"/>
        <v>90505.759384675272</v>
      </c>
      <c r="H28" s="626">
        <f t="shared" si="9"/>
        <v>110375.20227057477</v>
      </c>
      <c r="I28" s="626">
        <f t="shared" si="9"/>
        <v>110483.04431795681</v>
      </c>
      <c r="J28" s="626">
        <f t="shared" si="9"/>
        <v>59100.776816713587</v>
      </c>
      <c r="K28" s="626">
        <f t="shared" si="9"/>
        <v>63230.03391451577</v>
      </c>
      <c r="L28" s="626">
        <f t="shared" si="9"/>
        <v>67648.19086085615</v>
      </c>
    </row>
    <row r="29" spans="1:13" s="396" customFormat="1" x14ac:dyDescent="0.45">
      <c r="A29" s="532" t="s">
        <v>337</v>
      </c>
      <c r="B29" s="12">
        <v>0.01</v>
      </c>
      <c r="C29" s="642">
        <f>(SUM(C23:C28)*(1+$B$29)^(C5-$B$5))</f>
        <v>6314.0919635366936</v>
      </c>
      <c r="D29" s="642">
        <f>(SUM(D23:D28)*(1+$B$29)^(D5-$B$5))</f>
        <v>15889.987318013127</v>
      </c>
      <c r="E29" s="642">
        <f t="shared" ref="E29:L29" si="10">(SUM(E23:E28)*(1+$B$29)^(E5-$B$5))</f>
        <v>34831.915016036924</v>
      </c>
      <c r="F29" s="642">
        <f t="shared" si="10"/>
        <v>75205.546550055762</v>
      </c>
      <c r="G29" s="642">
        <f t="shared" si="10"/>
        <v>140099.38678920548</v>
      </c>
      <c r="H29" s="642">
        <f t="shared" si="10"/>
        <v>173800.57362786142</v>
      </c>
      <c r="I29" s="642">
        <f t="shared" si="10"/>
        <v>189118.93409562338</v>
      </c>
      <c r="J29" s="642">
        <f t="shared" si="10"/>
        <v>152218.4414340088</v>
      </c>
      <c r="K29" s="642">
        <f t="shared" si="10"/>
        <v>169804.73758056219</v>
      </c>
      <c r="L29" s="642">
        <f t="shared" si="10"/>
        <v>188046.66297062644</v>
      </c>
    </row>
    <row r="30" spans="1:13" s="408" customFormat="1" x14ac:dyDescent="0.45">
      <c r="A30" s="42" t="s">
        <v>221</v>
      </c>
      <c r="B30" s="637"/>
      <c r="C30" s="638">
        <f>(DOPN1!F110/1000)-((C9-B9)*DOPN1!F114/1000)</f>
        <v>78.399999999997817</v>
      </c>
      <c r="D30" s="638">
        <f>(DOPN1!H110/1000)-((D9-C9)*DOPN1!H114/1000)</f>
        <v>4078.3999999999978</v>
      </c>
      <c r="E30" s="638">
        <f>(DOPN1!J110/1000)-((E9-D9)*DOPN1!J114/1000)</f>
        <v>16198.499999999998</v>
      </c>
      <c r="F30" s="638">
        <f>(DOPN1!L110/1000)-((F9-E9)*DOPN1!L114/1000)</f>
        <v>52884</v>
      </c>
      <c r="G30" s="638">
        <f>(DOPN1!N110/1000)-((G9-F9)*DOPN1!N114/1000)</f>
        <v>94934.9</v>
      </c>
      <c r="H30" s="638">
        <f>(DOPN1!P110/1000)-((H9-G9)*DOPN1!P114/1000)</f>
        <v>51267.6</v>
      </c>
      <c r="I30" s="638">
        <f>(DOPN1!R110/1000)-((I9-H9)*DOPN1!R114/1000)</f>
        <v>88750.633731105816</v>
      </c>
      <c r="J30" s="638">
        <f>(DOPN1!T110/1000)-((J9-I9)*DOPN1!T114/1000)</f>
        <v>33747.797249687472</v>
      </c>
      <c r="K30" s="638">
        <f>(DOPN1!V110/1000)-((K9-J9)*DOPN1!V114/1000)</f>
        <v>61395</v>
      </c>
      <c r="L30" s="638">
        <f>(DOPN1!X110/1000)-((L9-K9)*DOPN1!X114/1000)</f>
        <v>36714.400000000001</v>
      </c>
      <c r="M30" s="640">
        <f>SUM(C30:L30)</f>
        <v>440049.63098079333</v>
      </c>
    </row>
    <row r="32" spans="1:13" x14ac:dyDescent="0.45">
      <c r="A32" s="43" t="s">
        <v>128</v>
      </c>
      <c r="B32" s="312"/>
      <c r="C32" s="13"/>
      <c r="D32" s="13"/>
      <c r="E32" s="13"/>
      <c r="F32" s="13"/>
      <c r="G32" s="13"/>
      <c r="H32" s="13"/>
      <c r="I32" s="13"/>
      <c r="J32" s="13"/>
      <c r="K32" s="14"/>
      <c r="L32" s="13"/>
    </row>
    <row r="33" spans="1:15" x14ac:dyDescent="0.45">
      <c r="A33" s="43" t="s">
        <v>219</v>
      </c>
      <c r="B33" s="338"/>
      <c r="C33" s="13"/>
      <c r="D33" s="13"/>
      <c r="E33" s="13"/>
      <c r="F33" s="13"/>
      <c r="G33" s="13"/>
      <c r="H33" s="13"/>
      <c r="I33" s="13"/>
      <c r="J33" s="13"/>
      <c r="K33" s="14"/>
      <c r="L33" s="13"/>
    </row>
    <row r="34" spans="1:15" x14ac:dyDescent="0.45">
      <c r="A34" s="43" t="s">
        <v>14</v>
      </c>
      <c r="B34" s="628"/>
      <c r="C34" s="626">
        <f>C19-C20-C29-C30+C32+C33</f>
        <v>-5702.8027727691915</v>
      </c>
      <c r="D34" s="626">
        <f t="shared" ref="D34:L34" si="11">D19-D20-D29-D30+D32+D33</f>
        <v>-14789.0625978108</v>
      </c>
      <c r="E34" s="626">
        <f t="shared" si="11"/>
        <v>-29895.564730452134</v>
      </c>
      <c r="F34" s="626">
        <f t="shared" si="11"/>
        <v>-35088.824577290376</v>
      </c>
      <c r="G34" s="626">
        <f t="shared" si="11"/>
        <v>27764.571563294536</v>
      </c>
      <c r="H34" s="626">
        <f t="shared" si="11"/>
        <v>159523.62266453839</v>
      </c>
      <c r="I34" s="626">
        <f t="shared" si="11"/>
        <v>261085.01834840322</v>
      </c>
      <c r="J34" s="626">
        <f t="shared" si="11"/>
        <v>473012.90737474873</v>
      </c>
      <c r="K34" s="626">
        <f t="shared" si="11"/>
        <v>561948.60155018582</v>
      </c>
      <c r="L34" s="626">
        <f t="shared" si="11"/>
        <v>718093.44434269599</v>
      </c>
    </row>
    <row r="35" spans="1:15" x14ac:dyDescent="0.45">
      <c r="A35" s="532" t="s">
        <v>15</v>
      </c>
      <c r="B35" s="596"/>
      <c r="C35" s="625">
        <f>C34</f>
        <v>-5702.8027727691915</v>
      </c>
      <c r="D35" s="625">
        <f t="shared" ref="D35:G35" si="12">C35+D34</f>
        <v>-20491.865370579992</v>
      </c>
      <c r="E35" s="625">
        <f t="shared" si="12"/>
        <v>-50387.430101032121</v>
      </c>
      <c r="F35" s="625">
        <f t="shared" si="12"/>
        <v>-85476.254678322497</v>
      </c>
      <c r="G35" s="625">
        <f t="shared" si="12"/>
        <v>-57711.683115027961</v>
      </c>
      <c r="H35" s="625">
        <f t="shared" ref="H35" si="13">G35+H34</f>
        <v>101811.93954951043</v>
      </c>
      <c r="I35" s="625">
        <f t="shared" ref="I35" si="14">H35+I34</f>
        <v>362896.95789791364</v>
      </c>
      <c r="J35" s="625">
        <f t="shared" ref="J35" si="15">I35+J34</f>
        <v>835909.86527266237</v>
      </c>
      <c r="K35" s="629">
        <f t="shared" ref="K35" si="16">J35+K34</f>
        <v>1397858.4668228482</v>
      </c>
      <c r="L35" s="625">
        <f t="shared" ref="L35" si="17">K35+L34</f>
        <v>2115951.9111655443</v>
      </c>
      <c r="M35" s="397"/>
    </row>
    <row r="36" spans="1:15" x14ac:dyDescent="0.45">
      <c r="A36" s="43"/>
      <c r="B36" s="630"/>
      <c r="C36" s="631"/>
      <c r="D36" s="631"/>
      <c r="E36" s="631"/>
      <c r="F36" s="631"/>
      <c r="G36" s="631"/>
      <c r="H36" s="631"/>
      <c r="I36" s="631"/>
      <c r="J36" s="631"/>
      <c r="K36" s="632"/>
      <c r="L36" s="631"/>
    </row>
    <row r="37" spans="1:15" x14ac:dyDescent="0.45">
      <c r="A37" s="633" t="s">
        <v>161</v>
      </c>
      <c r="B37" s="634" t="s">
        <v>7</v>
      </c>
      <c r="C37" s="635" t="s">
        <v>9</v>
      </c>
      <c r="D37" s="635" t="s">
        <v>10</v>
      </c>
      <c r="E37" s="635" t="s">
        <v>11</v>
      </c>
      <c r="F37" s="635" t="s">
        <v>12</v>
      </c>
      <c r="G37" s="635" t="s">
        <v>13</v>
      </c>
      <c r="H37" s="635" t="s">
        <v>138</v>
      </c>
      <c r="I37" s="635" t="s">
        <v>139</v>
      </c>
      <c r="J37" s="635" t="s">
        <v>140</v>
      </c>
      <c r="K37" s="636" t="s">
        <v>141</v>
      </c>
      <c r="L37" s="635" t="s">
        <v>142</v>
      </c>
    </row>
    <row r="38" spans="1:15" s="408" customFormat="1" x14ac:dyDescent="0.45">
      <c r="A38" s="42" t="s">
        <v>880</v>
      </c>
      <c r="B38" s="637"/>
      <c r="C38" s="638">
        <f>C19</f>
        <v>696.6557482500001</v>
      </c>
      <c r="D38" s="638">
        <f t="shared" ref="D38:L38" si="18">D19</f>
        <v>5231.641131517501</v>
      </c>
      <c r="E38" s="638">
        <f t="shared" si="18"/>
        <v>21348.33362180282</v>
      </c>
      <c r="F38" s="638">
        <f t="shared" si="18"/>
        <v>93940.123204813528</v>
      </c>
      <c r="G38" s="638">
        <f t="shared" si="18"/>
        <v>265453.39227525255</v>
      </c>
      <c r="H38" s="638">
        <f t="shared" si="18"/>
        <v>388476.56191151496</v>
      </c>
      <c r="I38" s="638">
        <f t="shared" si="18"/>
        <v>544398.57189407316</v>
      </c>
      <c r="J38" s="638">
        <f t="shared" si="18"/>
        <v>665635.50106913631</v>
      </c>
      <c r="K38" s="638">
        <f t="shared" si="18"/>
        <v>801159.93851590704</v>
      </c>
      <c r="L38" s="638">
        <f t="shared" si="18"/>
        <v>952378.29021547723</v>
      </c>
    </row>
    <row r="39" spans="1:15" x14ac:dyDescent="0.45">
      <c r="A39" s="43" t="s">
        <v>18</v>
      </c>
      <c r="B39" s="338"/>
      <c r="C39" s="626">
        <f>C20</f>
        <v>6.9665574825000007</v>
      </c>
      <c r="D39" s="626">
        <f t="shared" ref="D39:L39" si="19">D20</f>
        <v>52.31641131517501</v>
      </c>
      <c r="E39" s="626">
        <f t="shared" si="19"/>
        <v>213.4833362180282</v>
      </c>
      <c r="F39" s="626">
        <f t="shared" si="19"/>
        <v>939.40123204813528</v>
      </c>
      <c r="G39" s="626">
        <f t="shared" si="19"/>
        <v>2654.5339227525255</v>
      </c>
      <c r="H39" s="626">
        <f t="shared" si="19"/>
        <v>3884.7656191151495</v>
      </c>
      <c r="I39" s="626">
        <f t="shared" si="19"/>
        <v>5443.9857189407321</v>
      </c>
      <c r="J39" s="626">
        <f t="shared" si="19"/>
        <v>6656.3550106913635</v>
      </c>
      <c r="K39" s="639">
        <f t="shared" si="19"/>
        <v>8011.5993851590702</v>
      </c>
      <c r="L39" s="626">
        <f t="shared" si="19"/>
        <v>9523.7829021547732</v>
      </c>
    </row>
    <row r="40" spans="1:15" x14ac:dyDescent="0.45">
      <c r="A40" s="43" t="s">
        <v>68</v>
      </c>
      <c r="B40" s="628"/>
      <c r="C40" s="626">
        <f>C29</f>
        <v>6314.0919635366936</v>
      </c>
      <c r="D40" s="626">
        <f t="shared" ref="D40:L40" si="20">D29</f>
        <v>15889.987318013127</v>
      </c>
      <c r="E40" s="626">
        <f t="shared" si="20"/>
        <v>34831.915016036924</v>
      </c>
      <c r="F40" s="626">
        <f t="shared" si="20"/>
        <v>75205.546550055762</v>
      </c>
      <c r="G40" s="626">
        <f t="shared" si="20"/>
        <v>140099.38678920548</v>
      </c>
      <c r="H40" s="626">
        <f t="shared" si="20"/>
        <v>173800.57362786142</v>
      </c>
      <c r="I40" s="626">
        <f t="shared" si="20"/>
        <v>189118.93409562338</v>
      </c>
      <c r="J40" s="626">
        <f t="shared" si="20"/>
        <v>152218.4414340088</v>
      </c>
      <c r="K40" s="626">
        <f t="shared" si="20"/>
        <v>169804.73758056219</v>
      </c>
      <c r="L40" s="626">
        <f t="shared" si="20"/>
        <v>188046.66297062644</v>
      </c>
      <c r="O40" s="120" t="s">
        <v>275</v>
      </c>
    </row>
    <row r="41" spans="1:15" x14ac:dyDescent="0.45">
      <c r="A41" s="43" t="s">
        <v>266</v>
      </c>
      <c r="B41" s="7">
        <v>0.1</v>
      </c>
      <c r="C41" s="626">
        <f>$B$41*SUM($C$30:C30)</f>
        <v>7.8399999999997823</v>
      </c>
      <c r="D41" s="626">
        <f>$B$41*SUM($C$30:D30)</f>
        <v>415.67999999999961</v>
      </c>
      <c r="E41" s="626">
        <f>$B$41*SUM($C$30:E30)</f>
        <v>2035.5299999999997</v>
      </c>
      <c r="F41" s="626">
        <f>$B$41*SUM($C$30:F30)</f>
        <v>7323.9299999999994</v>
      </c>
      <c r="G41" s="626">
        <f>$B$41*SUM($C$30:G30)</f>
        <v>16817.419999999998</v>
      </c>
      <c r="H41" s="626">
        <f>$B$41*SUM($C$30:H30)</f>
        <v>21944.18</v>
      </c>
      <c r="I41" s="626">
        <f>$B$41*SUM($C$30:I30)</f>
        <v>30819.243373110585</v>
      </c>
      <c r="J41" s="626">
        <f>$B$41*SUM($C$30:J30)</f>
        <v>34194.023098079335</v>
      </c>
      <c r="K41" s="626">
        <f>$B$41*SUM($C$30:K30)</f>
        <v>40333.523098079335</v>
      </c>
      <c r="L41" s="626">
        <f>$B$41*SUM($C$30:L30)</f>
        <v>44004.963098079337</v>
      </c>
    </row>
    <row r="42" spans="1:15" x14ac:dyDescent="0.45">
      <c r="A42" s="532" t="s">
        <v>238</v>
      </c>
      <c r="B42" s="628"/>
      <c r="C42" s="626">
        <f>C38-SUM(C39:C41)</f>
        <v>-5632.2427727691938</v>
      </c>
      <c r="D42" s="626">
        <f t="shared" ref="D42:L42" si="21">D38-SUM(D39:D41)</f>
        <v>-11126.342597810801</v>
      </c>
      <c r="E42" s="626">
        <f t="shared" si="21"/>
        <v>-15732.594730452132</v>
      </c>
      <c r="F42" s="626">
        <f t="shared" si="21"/>
        <v>10471.245422709631</v>
      </c>
      <c r="G42" s="626">
        <f t="shared" si="21"/>
        <v>105882.05156329455</v>
      </c>
      <c r="H42" s="626">
        <f t="shared" si="21"/>
        <v>188847.0426645384</v>
      </c>
      <c r="I42" s="626">
        <f t="shared" si="21"/>
        <v>319016.40870639845</v>
      </c>
      <c r="J42" s="626">
        <f t="shared" si="21"/>
        <v>472566.68152635684</v>
      </c>
      <c r="K42" s="626">
        <f t="shared" si="21"/>
        <v>583010.07845210645</v>
      </c>
      <c r="L42" s="626">
        <f t="shared" si="21"/>
        <v>710802.8812446167</v>
      </c>
    </row>
    <row r="43" spans="1:15" x14ac:dyDescent="0.45">
      <c r="A43" s="43" t="s">
        <v>220</v>
      </c>
      <c r="B43" s="7">
        <v>0.08</v>
      </c>
      <c r="C43" s="626">
        <f>$B$33*SUM($C$33:C33)</f>
        <v>0</v>
      </c>
      <c r="D43" s="626">
        <f>$B$43*SUM($C$33:D33)</f>
        <v>0</v>
      </c>
      <c r="E43" s="626">
        <f>$B$43*SUM($C$33:E33)</f>
        <v>0</v>
      </c>
      <c r="F43" s="626">
        <f>$B$43*SUM($C$33:F33)</f>
        <v>0</v>
      </c>
      <c r="G43" s="626">
        <f>$B$43*SUM($C$33:G33)</f>
        <v>0</v>
      </c>
      <c r="H43" s="626">
        <f>$B$43*SUM($C$33:H33)</f>
        <v>0</v>
      </c>
      <c r="I43" s="626">
        <f>$B$43*SUM($C$33:I33)</f>
        <v>0</v>
      </c>
      <c r="J43" s="626">
        <f>$B$43*SUM($C$33:J33)</f>
        <v>0</v>
      </c>
      <c r="K43" s="626">
        <f>$B$43*SUM($C$33:K33)</f>
        <v>0</v>
      </c>
      <c r="L43" s="626">
        <f>$B$43*SUM($C$33:L33)</f>
        <v>0</v>
      </c>
    </row>
    <row r="44" spans="1:15" s="627" customFormat="1" x14ac:dyDescent="0.45">
      <c r="A44" s="43" t="s">
        <v>16</v>
      </c>
      <c r="B44" s="7">
        <v>0.2</v>
      </c>
      <c r="C44" s="626">
        <f>$B$44*(C42-C43)</f>
        <v>-1126.4485545538389</v>
      </c>
      <c r="D44" s="626">
        <f t="shared" ref="D44:L44" si="22">$B$44*(D42-D43)</f>
        <v>-2225.2685195621602</v>
      </c>
      <c r="E44" s="626">
        <f t="shared" si="22"/>
        <v>-3146.5189460904267</v>
      </c>
      <c r="F44" s="626">
        <f t="shared" si="22"/>
        <v>2094.2490845419265</v>
      </c>
      <c r="G44" s="626">
        <f t="shared" si="22"/>
        <v>21176.410312658911</v>
      </c>
      <c r="H44" s="626">
        <f t="shared" si="22"/>
        <v>37769.408532907684</v>
      </c>
      <c r="I44" s="626">
        <f t="shared" si="22"/>
        <v>63803.281741279694</v>
      </c>
      <c r="J44" s="626">
        <f t="shared" si="22"/>
        <v>94513.336305271368</v>
      </c>
      <c r="K44" s="626">
        <f t="shared" si="22"/>
        <v>116602.01569042129</v>
      </c>
      <c r="L44" s="626">
        <f t="shared" si="22"/>
        <v>142160.57624892335</v>
      </c>
    </row>
    <row r="45" spans="1:15" x14ac:dyDescent="0.45">
      <c r="A45" s="532" t="s">
        <v>17</v>
      </c>
      <c r="B45" s="596"/>
      <c r="C45" s="625">
        <f>C42-C43-C44</f>
        <v>-4505.7942182153547</v>
      </c>
      <c r="D45" s="625">
        <f t="shared" ref="D45:L45" si="23">D42-D43-D44</f>
        <v>-8901.0740782486409</v>
      </c>
      <c r="E45" s="625">
        <f t="shared" si="23"/>
        <v>-12586.075784361707</v>
      </c>
      <c r="F45" s="625">
        <f t="shared" si="23"/>
        <v>8376.9963381677044</v>
      </c>
      <c r="G45" s="625">
        <f t="shared" si="23"/>
        <v>84705.641250635643</v>
      </c>
      <c r="H45" s="625">
        <f t="shared" si="23"/>
        <v>151077.63413163071</v>
      </c>
      <c r="I45" s="625">
        <f t="shared" si="23"/>
        <v>255213.12696511875</v>
      </c>
      <c r="J45" s="625">
        <f t="shared" si="23"/>
        <v>378053.34522108547</v>
      </c>
      <c r="K45" s="625">
        <f t="shared" si="23"/>
        <v>466408.06276168517</v>
      </c>
      <c r="L45" s="625">
        <f t="shared" si="23"/>
        <v>568642.30499569338</v>
      </c>
    </row>
    <row r="46" spans="1:15" x14ac:dyDescent="0.45">
      <c r="A46" s="624" t="s">
        <v>857</v>
      </c>
      <c r="B46" s="15">
        <v>10</v>
      </c>
      <c r="C46" s="622"/>
      <c r="D46" s="622"/>
      <c r="E46" s="622"/>
      <c r="F46" s="622"/>
      <c r="G46" s="622">
        <f>G42*B46</f>
        <v>1058820.5156329456</v>
      </c>
      <c r="H46" s="622"/>
      <c r="I46" s="622"/>
      <c r="J46" s="622"/>
      <c r="K46" s="623"/>
      <c r="L46" s="622">
        <f>L42*B46</f>
        <v>7108028.8124461668</v>
      </c>
    </row>
    <row r="47" spans="1:15" x14ac:dyDescent="0.45">
      <c r="A47" s="611"/>
    </row>
    <row r="48" spans="1:15" x14ac:dyDescent="0.45">
      <c r="A48" s="611">
        <v>0</v>
      </c>
      <c r="N48" s="120" t="s">
        <v>275</v>
      </c>
    </row>
    <row r="49" spans="1:12" x14ac:dyDescent="0.45">
      <c r="L49" s="613"/>
    </row>
    <row r="54" spans="1:12" ht="15.75" x14ac:dyDescent="0.45">
      <c r="A54" s="614"/>
      <c r="B54" s="614"/>
      <c r="C54" s="614"/>
      <c r="D54" s="614"/>
      <c r="E54" s="614"/>
      <c r="F54" s="614"/>
      <c r="G54" s="614"/>
    </row>
    <row r="55" spans="1:12" ht="15.75" x14ac:dyDescent="0.45">
      <c r="A55" s="615"/>
      <c r="B55" s="615"/>
      <c r="C55" s="616"/>
      <c r="D55" s="615"/>
      <c r="E55" s="617"/>
      <c r="F55" s="618"/>
      <c r="G55" s="616"/>
      <c r="K55" s="616"/>
      <c r="L55" s="616"/>
    </row>
    <row r="56" spans="1:12" ht="15.75" x14ac:dyDescent="0.45">
      <c r="A56" s="619"/>
      <c r="B56" s="619"/>
      <c r="C56" s="620"/>
      <c r="D56" s="619"/>
      <c r="E56" s="621"/>
      <c r="F56" s="621"/>
      <c r="G56" s="620"/>
      <c r="K56" s="620"/>
      <c r="L56" s="619"/>
    </row>
    <row r="57" spans="1:12" ht="15.75" x14ac:dyDescent="0.45">
      <c r="A57" s="619"/>
      <c r="B57" s="619"/>
      <c r="C57" s="620"/>
      <c r="D57" s="619"/>
      <c r="E57" s="621"/>
      <c r="F57" s="617"/>
      <c r="G57" s="620"/>
      <c r="K57" s="620"/>
      <c r="L57" s="619"/>
    </row>
    <row r="58" spans="1:12" ht="15.75" x14ac:dyDescent="0.45">
      <c r="A58" s="620"/>
      <c r="B58" s="620"/>
      <c r="C58" s="620"/>
      <c r="D58" s="620"/>
      <c r="E58" s="621"/>
      <c r="F58" s="617"/>
      <c r="G58" s="620"/>
      <c r="K58" s="620"/>
      <c r="L58" s="619"/>
    </row>
    <row r="59" spans="1:12" ht="15.75" x14ac:dyDescent="0.45">
      <c r="A59" s="619"/>
      <c r="B59" s="619"/>
      <c r="C59" s="620"/>
      <c r="D59" s="619"/>
      <c r="E59" s="621"/>
      <c r="F59" s="621"/>
      <c r="G59" s="620"/>
      <c r="K59" s="620"/>
      <c r="L59" s="619"/>
    </row>
    <row r="60" spans="1:12" ht="15.75" x14ac:dyDescent="0.45">
      <c r="A60" s="619"/>
      <c r="B60" s="619"/>
      <c r="C60" s="620"/>
      <c r="D60" s="619"/>
      <c r="E60" s="621"/>
      <c r="F60" s="621"/>
      <c r="G60" s="620"/>
      <c r="K60" s="620"/>
      <c r="L60" s="619"/>
    </row>
    <row r="61" spans="1:12" ht="15.75" x14ac:dyDescent="0.45">
      <c r="A61" s="619"/>
      <c r="B61" s="619"/>
      <c r="C61" s="620"/>
      <c r="D61" s="619"/>
      <c r="E61" s="621"/>
      <c r="F61" s="621"/>
      <c r="G61" s="620"/>
      <c r="K61" s="620"/>
      <c r="L61" s="619"/>
    </row>
    <row r="62" spans="1:12" ht="15.75" x14ac:dyDescent="0.45">
      <c r="A62" s="619"/>
      <c r="B62" s="619"/>
      <c r="C62" s="620"/>
      <c r="D62" s="619"/>
      <c r="E62" s="621"/>
      <c r="F62" s="621"/>
      <c r="G62" s="620"/>
      <c r="K62" s="620"/>
      <c r="L62" s="619"/>
    </row>
    <row r="63" spans="1:12" ht="15.75" x14ac:dyDescent="0.45">
      <c r="A63" s="619"/>
      <c r="B63" s="619"/>
      <c r="C63" s="620"/>
      <c r="D63" s="619"/>
      <c r="E63" s="621"/>
      <c r="F63" s="621"/>
      <c r="G63" s="620"/>
      <c r="K63" s="620"/>
      <c r="L63" s="619"/>
    </row>
    <row r="64" spans="1:12" ht="15.75" x14ac:dyDescent="0.45">
      <c r="A64" s="620"/>
      <c r="B64" s="620"/>
      <c r="C64" s="620"/>
      <c r="D64" s="620"/>
      <c r="E64" s="621"/>
      <c r="F64" s="621"/>
      <c r="G64" s="620"/>
      <c r="K64" s="620"/>
      <c r="L64" s="620"/>
    </row>
    <row r="65" spans="1:12" ht="15.75" x14ac:dyDescent="0.45">
      <c r="A65" s="619"/>
      <c r="B65" s="619"/>
      <c r="C65" s="620"/>
      <c r="D65" s="619"/>
      <c r="E65" s="621"/>
      <c r="F65" s="621"/>
      <c r="G65" s="620"/>
      <c r="K65" s="620"/>
      <c r="L65" s="619"/>
    </row>
    <row r="66" spans="1:12" ht="15.75" x14ac:dyDescent="0.45">
      <c r="A66" s="619"/>
      <c r="B66" s="619"/>
      <c r="C66" s="620"/>
      <c r="D66" s="619"/>
      <c r="E66" s="621"/>
      <c r="F66" s="621"/>
      <c r="G66" s="620"/>
      <c r="K66" s="620"/>
      <c r="L66" s="619"/>
    </row>
    <row r="67" spans="1:12" ht="15.75" x14ac:dyDescent="0.45">
      <c r="A67" s="619"/>
      <c r="B67" s="619"/>
      <c r="C67" s="620"/>
      <c r="D67" s="619"/>
      <c r="E67" s="621"/>
      <c r="F67" s="621"/>
      <c r="G67" s="620"/>
      <c r="K67" s="620"/>
      <c r="L67" s="619"/>
    </row>
  </sheetData>
  <sheetProtection algorithmName="SHA-512" hashValue="VcZthsaRxlpNHW8Ou1gkwJZRMIsgdQ6z9r67jRVtN4XmtDSdckmG1t4Vd/q9UafBBwnxC75I+/q98RF/gxeOyg==" saltValue="gR325DlbmLmyBbzku5FkEQ==" spinCount="100000" sheet="1" objects="1" scenarios="1" selectLockedCells="1"/>
  <pageMargins left="0.7" right="0.7" top="0.75" bottom="0.75" header="0.3" footer="0.3"/>
  <pageSetup paperSize="9" scale="59" orientation="landscape" r:id="rId1"/>
  <colBreaks count="1" manualBreakCount="1">
    <brk id="7" max="42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56"/>
  <sheetViews>
    <sheetView zoomScale="75" zoomScaleNormal="75" workbookViewId="0">
      <selection activeCell="B38" sqref="B38"/>
    </sheetView>
  </sheetViews>
  <sheetFormatPr defaultRowHeight="14.25" x14ac:dyDescent="0.45"/>
  <cols>
    <col min="1" max="1" width="49.6640625" style="120" customWidth="1"/>
    <col min="2" max="2" width="8.3984375" style="120" customWidth="1"/>
    <col min="3" max="3" width="10.1328125" style="120" bestFit="1" customWidth="1"/>
    <col min="4" max="4" width="11.73046875" style="120" customWidth="1"/>
    <col min="5" max="5" width="12.46484375" style="120" customWidth="1"/>
    <col min="6" max="6" width="1.86328125" style="424" customWidth="1"/>
    <col min="7" max="7" width="12.796875" style="120" customWidth="1"/>
    <col min="8" max="8" width="12.265625" style="120" customWidth="1"/>
    <col min="9" max="16384" width="9.06640625" style="120"/>
  </cols>
  <sheetData>
    <row r="1" spans="1:7" ht="20.65" x14ac:dyDescent="0.6">
      <c r="A1" s="599" t="s">
        <v>418</v>
      </c>
      <c r="B1" s="698" t="str">
        <f>MKT!C1</f>
        <v>UK</v>
      </c>
    </row>
    <row r="3" spans="1:7" ht="14.65" thickBot="1" x14ac:dyDescent="0.5">
      <c r="D3" s="46"/>
      <c r="E3" s="46"/>
      <c r="G3" s="46"/>
    </row>
    <row r="4" spans="1:7" x14ac:dyDescent="0.45">
      <c r="A4" s="690" t="s">
        <v>57</v>
      </c>
      <c r="B4" s="696" t="s">
        <v>59</v>
      </c>
      <c r="C4" s="697" t="s">
        <v>60</v>
      </c>
      <c r="D4" s="46"/>
      <c r="E4" s="46"/>
      <c r="G4" s="46"/>
    </row>
    <row r="5" spans="1:7" x14ac:dyDescent="0.45">
      <c r="A5" s="586" t="s">
        <v>162</v>
      </c>
      <c r="B5" s="661">
        <v>12</v>
      </c>
      <c r="C5" s="694">
        <f>B5*C16*DOPN1!B8</f>
        <v>35100</v>
      </c>
      <c r="D5" s="46"/>
      <c r="E5" s="46"/>
      <c r="G5" s="46"/>
    </row>
    <row r="6" spans="1:7" x14ac:dyDescent="0.45">
      <c r="A6" s="586" t="s">
        <v>163</v>
      </c>
      <c r="B6" s="661">
        <v>10</v>
      </c>
      <c r="C6" s="694">
        <f>B6*C16*DOPN1!B8</f>
        <v>29250</v>
      </c>
      <c r="D6" s="46"/>
      <c r="E6" s="46"/>
      <c r="G6" s="46"/>
    </row>
    <row r="7" spans="1:7" ht="14.65" thickBot="1" x14ac:dyDescent="0.5">
      <c r="A7" s="585" t="s">
        <v>24</v>
      </c>
      <c r="B7" s="695">
        <f>B5+B6</f>
        <v>22</v>
      </c>
      <c r="C7" s="689">
        <f>C5+C6</f>
        <v>64350</v>
      </c>
      <c r="D7" s="46"/>
      <c r="E7" s="46"/>
      <c r="G7" s="46"/>
    </row>
    <row r="8" spans="1:7" x14ac:dyDescent="0.45">
      <c r="D8" s="46"/>
      <c r="E8" s="46"/>
      <c r="G8" s="46"/>
    </row>
    <row r="9" spans="1:7" ht="14.65" thickBot="1" x14ac:dyDescent="0.5"/>
    <row r="10" spans="1:7" x14ac:dyDescent="0.45">
      <c r="A10" s="690" t="s">
        <v>25</v>
      </c>
      <c r="B10" s="696" t="s">
        <v>334</v>
      </c>
      <c r="C10" s="696" t="s">
        <v>58</v>
      </c>
      <c r="D10" s="697" t="s">
        <v>27</v>
      </c>
    </row>
    <row r="11" spans="1:7" x14ac:dyDescent="0.45">
      <c r="A11" s="586" t="s">
        <v>855</v>
      </c>
      <c r="B11" s="43"/>
      <c r="C11" s="133">
        <v>0.75</v>
      </c>
      <c r="D11" s="694">
        <f>$B$7*C11</f>
        <v>16.5</v>
      </c>
    </row>
    <row r="12" spans="1:7" x14ac:dyDescent="0.45">
      <c r="A12" s="586" t="s">
        <v>69</v>
      </c>
      <c r="B12" s="122">
        <v>20</v>
      </c>
      <c r="C12" s="133">
        <v>0.5</v>
      </c>
      <c r="D12" s="694">
        <f t="shared" ref="D12:D15" si="0">$B$7*C12</f>
        <v>11</v>
      </c>
    </row>
    <row r="13" spans="1:7" x14ac:dyDescent="0.45">
      <c r="A13" s="586" t="s">
        <v>335</v>
      </c>
      <c r="B13" s="122">
        <v>40</v>
      </c>
      <c r="C13" s="133">
        <v>7</v>
      </c>
      <c r="D13" s="694">
        <f t="shared" si="0"/>
        <v>154</v>
      </c>
    </row>
    <row r="14" spans="1:7" x14ac:dyDescent="0.45">
      <c r="A14" s="586" t="s">
        <v>124</v>
      </c>
      <c r="B14" s="122">
        <v>10</v>
      </c>
      <c r="C14" s="133">
        <v>0.5</v>
      </c>
      <c r="D14" s="694">
        <f t="shared" si="0"/>
        <v>11</v>
      </c>
    </row>
    <row r="15" spans="1:7" x14ac:dyDescent="0.45">
      <c r="A15" s="586" t="s">
        <v>26</v>
      </c>
      <c r="B15" s="43"/>
      <c r="C15" s="133">
        <v>0.25</v>
      </c>
      <c r="D15" s="694">
        <f t="shared" si="0"/>
        <v>5.5</v>
      </c>
    </row>
    <row r="16" spans="1:7" ht="14.65" thickBot="1" x14ac:dyDescent="0.5">
      <c r="A16" s="585"/>
      <c r="B16" s="299">
        <f>SUM(B12:B15)</f>
        <v>70</v>
      </c>
      <c r="C16" s="246">
        <f>SUM(C11:C15)</f>
        <v>9</v>
      </c>
      <c r="D16" s="689">
        <f>SUM(D11:D15)</f>
        <v>198</v>
      </c>
    </row>
    <row r="17" spans="1:13" x14ac:dyDescent="0.45">
      <c r="I17" s="46"/>
    </row>
    <row r="18" spans="1:13" ht="14.65" thickBot="1" x14ac:dyDescent="0.5"/>
    <row r="19" spans="1:13" x14ac:dyDescent="0.45">
      <c r="A19" s="690" t="s">
        <v>832</v>
      </c>
      <c r="B19" s="857" t="s">
        <v>889</v>
      </c>
      <c r="C19" s="691" t="s">
        <v>28</v>
      </c>
      <c r="D19" s="692" t="s">
        <v>29</v>
      </c>
      <c r="E19" s="862" t="s">
        <v>29</v>
      </c>
      <c r="F19" s="854"/>
      <c r="G19" s="863" t="s">
        <v>48</v>
      </c>
      <c r="H19" s="863" t="s">
        <v>48</v>
      </c>
      <c r="M19" s="860"/>
    </row>
    <row r="20" spans="1:13" x14ac:dyDescent="0.45">
      <c r="A20" s="858"/>
      <c r="B20" s="693"/>
      <c r="C20" s="859"/>
      <c r="D20" s="859" t="s">
        <v>829</v>
      </c>
      <c r="E20" s="864" t="s">
        <v>438</v>
      </c>
      <c r="G20" s="873" t="s">
        <v>829</v>
      </c>
      <c r="H20" s="865" t="s">
        <v>438</v>
      </c>
      <c r="M20" s="860"/>
    </row>
    <row r="21" spans="1:13" x14ac:dyDescent="0.45">
      <c r="A21" s="678" t="s">
        <v>33</v>
      </c>
      <c r="B21" s="532"/>
      <c r="C21" s="135">
        <v>3.2</v>
      </c>
      <c r="D21" s="135">
        <v>1.1000000000000001</v>
      </c>
      <c r="E21" s="866">
        <f>D21</f>
        <v>1.1000000000000001</v>
      </c>
      <c r="F21" s="855"/>
      <c r="G21" s="775">
        <v>1.2</v>
      </c>
      <c r="H21" s="775">
        <v>9</v>
      </c>
      <c r="M21" s="448"/>
    </row>
    <row r="22" spans="1:13" x14ac:dyDescent="0.45">
      <c r="A22" s="678" t="s">
        <v>892</v>
      </c>
      <c r="B22" s="532"/>
      <c r="C22" s="133">
        <v>0.35</v>
      </c>
      <c r="D22" s="133">
        <v>0.35</v>
      </c>
      <c r="E22" s="908">
        <v>0.41</v>
      </c>
      <c r="F22" s="888"/>
      <c r="G22" s="889">
        <v>0.35</v>
      </c>
      <c r="H22" s="889">
        <v>0.42399999999999999</v>
      </c>
      <c r="M22" s="448"/>
    </row>
    <row r="23" spans="1:13" x14ac:dyDescent="0.45">
      <c r="A23" s="688" t="s">
        <v>894</v>
      </c>
      <c r="B23" s="122">
        <v>15</v>
      </c>
      <c r="C23" s="300">
        <f>C22/($B$23/60)</f>
        <v>1.4</v>
      </c>
      <c r="D23" s="300">
        <f t="shared" ref="D23:H23" si="1">D22/($B$23/60)</f>
        <v>1.4</v>
      </c>
      <c r="E23" s="300">
        <f t="shared" si="1"/>
        <v>1.64</v>
      </c>
      <c r="F23" s="300"/>
      <c r="G23" s="300">
        <f t="shared" si="1"/>
        <v>1.4</v>
      </c>
      <c r="H23" s="300">
        <f t="shared" si="1"/>
        <v>1.696</v>
      </c>
      <c r="M23" s="424"/>
    </row>
    <row r="24" spans="1:13" x14ac:dyDescent="0.45">
      <c r="A24" s="687" t="s">
        <v>893</v>
      </c>
      <c r="B24" s="122">
        <v>0.1</v>
      </c>
      <c r="C24" s="43">
        <f>$B$24</f>
        <v>0.1</v>
      </c>
      <c r="D24" s="43">
        <f t="shared" ref="D24:H24" si="2">$B$24</f>
        <v>0.1</v>
      </c>
      <c r="E24" s="43">
        <f t="shared" si="2"/>
        <v>0.1</v>
      </c>
      <c r="F24" s="43"/>
      <c r="G24" s="43">
        <f t="shared" si="2"/>
        <v>0.1</v>
      </c>
      <c r="H24" s="43">
        <f t="shared" si="2"/>
        <v>0.1</v>
      </c>
      <c r="M24" s="424"/>
    </row>
    <row r="25" spans="1:13" x14ac:dyDescent="0.45">
      <c r="A25" s="687" t="s">
        <v>890</v>
      </c>
      <c r="B25" s="135">
        <v>0.2</v>
      </c>
      <c r="C25" s="300">
        <f>C21*$B$25</f>
        <v>0.64000000000000012</v>
      </c>
      <c r="D25" s="300">
        <f>D21*$B$25</f>
        <v>0.22000000000000003</v>
      </c>
      <c r="E25" s="866">
        <f>D25</f>
        <v>0.22000000000000003</v>
      </c>
      <c r="F25" s="852"/>
      <c r="G25" s="867">
        <f>G21*$B$25</f>
        <v>0.24</v>
      </c>
      <c r="H25" s="867">
        <f>H21*$B$25</f>
        <v>1.8</v>
      </c>
      <c r="M25" s="424"/>
    </row>
    <row r="26" spans="1:13" x14ac:dyDescent="0.45">
      <c r="A26" s="687" t="s">
        <v>854</v>
      </c>
      <c r="B26" s="43"/>
      <c r="C26" s="135">
        <v>0.8</v>
      </c>
      <c r="D26" s="135">
        <v>0.5</v>
      </c>
      <c r="E26" s="866">
        <f>D26</f>
        <v>0.5</v>
      </c>
      <c r="F26" s="855"/>
      <c r="G26" s="775">
        <v>0.5</v>
      </c>
      <c r="H26" s="775">
        <v>0.5</v>
      </c>
      <c r="M26" s="424"/>
    </row>
    <row r="27" spans="1:13" x14ac:dyDescent="0.45">
      <c r="A27" s="687" t="s">
        <v>891</v>
      </c>
      <c r="B27" s="135">
        <v>0.2</v>
      </c>
      <c r="C27" s="300">
        <f>C21*$B$27</f>
        <v>0.64000000000000012</v>
      </c>
      <c r="D27" s="300">
        <f>D21*$B$27</f>
        <v>0.22000000000000003</v>
      </c>
      <c r="E27" s="867">
        <f>D27</f>
        <v>0.22000000000000003</v>
      </c>
      <c r="F27" s="852"/>
      <c r="G27" s="867">
        <f>G21*$B$27</f>
        <v>0.24</v>
      </c>
      <c r="H27" s="867">
        <f>H21*$B$27</f>
        <v>1.8</v>
      </c>
      <c r="M27" s="424"/>
    </row>
    <row r="28" spans="1:13" x14ac:dyDescent="0.45">
      <c r="A28" s="687" t="s">
        <v>358</v>
      </c>
      <c r="B28" s="43"/>
      <c r="C28" s="135">
        <v>0.5</v>
      </c>
      <c r="D28" s="135">
        <v>0.4</v>
      </c>
      <c r="E28" s="866">
        <f>D28</f>
        <v>0.4</v>
      </c>
      <c r="F28" s="855"/>
      <c r="G28" s="775">
        <v>0.5</v>
      </c>
      <c r="H28" s="775">
        <v>0.5</v>
      </c>
      <c r="M28" s="424"/>
    </row>
    <row r="29" spans="1:13" x14ac:dyDescent="0.45">
      <c r="A29" s="687" t="s">
        <v>30</v>
      </c>
      <c r="B29" s="43"/>
      <c r="C29" s="135">
        <v>0.1</v>
      </c>
      <c r="D29" s="135">
        <v>0.1</v>
      </c>
      <c r="E29" s="866">
        <f>D29</f>
        <v>0.1</v>
      </c>
      <c r="F29" s="855"/>
      <c r="G29" s="775">
        <v>0.1</v>
      </c>
      <c r="H29" s="775">
        <v>0.1</v>
      </c>
      <c r="M29" s="424"/>
    </row>
    <row r="30" spans="1:13" x14ac:dyDescent="0.45">
      <c r="A30" s="685" t="s">
        <v>261</v>
      </c>
      <c r="B30" s="43"/>
      <c r="C30" s="686">
        <f>SUM(C23:C29)</f>
        <v>4.18</v>
      </c>
      <c r="D30" s="686">
        <f>SUM(D23:D29)</f>
        <v>2.94</v>
      </c>
      <c r="E30" s="868">
        <f>SUM(E23:E29)</f>
        <v>3.18</v>
      </c>
      <c r="F30" s="856"/>
      <c r="G30" s="868">
        <f>SUM(G23:G29)</f>
        <v>3.0800000000000005</v>
      </c>
      <c r="H30" s="868">
        <f>SUM(H23:H29)</f>
        <v>6.4959999999999996</v>
      </c>
      <c r="M30" s="424"/>
    </row>
    <row r="31" spans="1:13" x14ac:dyDescent="0.45">
      <c r="A31" s="678" t="s">
        <v>333</v>
      </c>
      <c r="B31" s="43"/>
      <c r="C31" s="300">
        <f>60/C30</f>
        <v>14.354066985645934</v>
      </c>
      <c r="D31" s="300">
        <f t="shared" ref="D31" si="3">60/D30</f>
        <v>20.408163265306122</v>
      </c>
      <c r="E31" s="172">
        <f>60/E30</f>
        <v>18.867924528301884</v>
      </c>
      <c r="F31" s="852"/>
      <c r="G31" s="867">
        <f>60/G30</f>
        <v>19.480519480519476</v>
      </c>
      <c r="H31" s="172">
        <f>60/H30</f>
        <v>9.2364532019704448</v>
      </c>
      <c r="M31" s="424"/>
    </row>
    <row r="32" spans="1:13" x14ac:dyDescent="0.45">
      <c r="A32" s="684" t="s">
        <v>198</v>
      </c>
      <c r="B32" s="43"/>
      <c r="C32" s="7">
        <v>0</v>
      </c>
      <c r="D32" s="33">
        <f>CON!J31</f>
        <v>0.05</v>
      </c>
      <c r="E32" s="877">
        <f>CON!K31</f>
        <v>0.01</v>
      </c>
      <c r="F32" s="293"/>
      <c r="G32" s="874">
        <v>0</v>
      </c>
      <c r="H32" s="869">
        <v>0</v>
      </c>
      <c r="M32" s="424"/>
    </row>
    <row r="33" spans="1:13" x14ac:dyDescent="0.45">
      <c r="A33" s="678" t="s">
        <v>32</v>
      </c>
      <c r="B33" s="43"/>
      <c r="C33" s="50">
        <f>C31*(1-C32)</f>
        <v>14.354066985645934</v>
      </c>
      <c r="D33" s="50">
        <f t="shared" ref="D33" si="4">D31*(1-D32)</f>
        <v>19.387755102040813</v>
      </c>
      <c r="E33" s="172">
        <f>E31*(1-E32)</f>
        <v>18.679245283018865</v>
      </c>
      <c r="F33" s="852"/>
      <c r="G33" s="172">
        <f>G31*(1-G32)</f>
        <v>19.480519480519476</v>
      </c>
      <c r="H33" s="172">
        <f>H31*(1-H32)</f>
        <v>9.2364532019704448</v>
      </c>
      <c r="M33" s="424"/>
    </row>
    <row r="34" spans="1:13" x14ac:dyDescent="0.45">
      <c r="A34" s="678" t="s">
        <v>31</v>
      </c>
      <c r="B34" s="43"/>
      <c r="C34" s="296">
        <f>C33*$C$13</f>
        <v>100.47846889952154</v>
      </c>
      <c r="D34" s="296">
        <f>D33*$C$13</f>
        <v>135.71428571428569</v>
      </c>
      <c r="E34" s="307">
        <f>E33*$C$13</f>
        <v>130.75471698113205</v>
      </c>
      <c r="F34" s="850"/>
      <c r="G34" s="307">
        <f>G33*$C$13</f>
        <v>136.36363636363632</v>
      </c>
      <c r="H34" s="307">
        <f>H33*$C$13</f>
        <v>64.65517241379311</v>
      </c>
      <c r="M34" s="424"/>
    </row>
    <row r="35" spans="1:13" x14ac:dyDescent="0.45">
      <c r="A35" s="678" t="s">
        <v>34</v>
      </c>
      <c r="B35" s="43"/>
      <c r="C35" s="296">
        <f>C34*C21</f>
        <v>321.53110047846894</v>
      </c>
      <c r="D35" s="296">
        <f>D34*D21</f>
        <v>149.28571428571428</v>
      </c>
      <c r="E35" s="307">
        <f>E34*E21</f>
        <v>143.83018867924525</v>
      </c>
      <c r="F35" s="850"/>
      <c r="G35" s="307">
        <f>G34*G21</f>
        <v>163.63636363636357</v>
      </c>
      <c r="H35" s="307">
        <f>H34*H21</f>
        <v>581.89655172413802</v>
      </c>
      <c r="M35" s="424"/>
    </row>
    <row r="36" spans="1:13" x14ac:dyDescent="0.45">
      <c r="A36" s="678" t="s">
        <v>35</v>
      </c>
      <c r="B36" s="43"/>
      <c r="C36" s="682">
        <f>B7*(C16-C14)</f>
        <v>187</v>
      </c>
      <c r="D36" s="682">
        <f>C36</f>
        <v>187</v>
      </c>
      <c r="E36" s="694">
        <f>C36</f>
        <v>187</v>
      </c>
      <c r="F36" s="706"/>
      <c r="G36" s="694">
        <f>C36</f>
        <v>187</v>
      </c>
      <c r="H36" s="694">
        <f>C36</f>
        <v>187</v>
      </c>
      <c r="M36" s="424"/>
    </row>
    <row r="37" spans="1:13" x14ac:dyDescent="0.45">
      <c r="A37" s="678" t="s">
        <v>365</v>
      </c>
      <c r="B37" s="43"/>
      <c r="C37" s="683">
        <f>C36/C35</f>
        <v>0.58159226190476188</v>
      </c>
      <c r="D37" s="683">
        <f t="shared" ref="D37" si="5">D36/D35</f>
        <v>1.2526315789473685</v>
      </c>
      <c r="E37" s="694">
        <f>E36/E35</f>
        <v>1.3001443001443005</v>
      </c>
      <c r="F37" s="671"/>
      <c r="G37" s="875">
        <f>G36/G35</f>
        <v>1.1427777777777783</v>
      </c>
      <c r="H37" s="694">
        <f>H36/H35</f>
        <v>0.32136296296296291</v>
      </c>
      <c r="M37" s="424"/>
    </row>
    <row r="38" spans="1:13" x14ac:dyDescent="0.45">
      <c r="A38" s="678" t="s">
        <v>367</v>
      </c>
      <c r="B38" s="7">
        <v>0.4</v>
      </c>
      <c r="C38" s="679">
        <f>MKT!S23*$B$38</f>
        <v>2.1440000000000001</v>
      </c>
      <c r="D38" s="679">
        <f>MKT!$O$23*$B$38</f>
        <v>1.2360000000000004</v>
      </c>
      <c r="E38" s="870">
        <f>MKT!$O$23*$B$38</f>
        <v>1.2360000000000004</v>
      </c>
      <c r="F38" s="665"/>
      <c r="G38" s="870">
        <f>MKT!$O$23*$B$38</f>
        <v>1.2360000000000004</v>
      </c>
      <c r="H38" s="870">
        <f>MKT!$O$23*$B$38</f>
        <v>1.2360000000000004</v>
      </c>
      <c r="M38" s="424"/>
    </row>
    <row r="39" spans="1:13" x14ac:dyDescent="0.45">
      <c r="A39" s="680" t="s">
        <v>887</v>
      </c>
      <c r="B39" s="7">
        <v>0.02</v>
      </c>
      <c r="C39" s="681">
        <f t="shared" ref="C39:D40" si="6">C37*(1+$B$39)^10</f>
        <v>0.70895772197403406</v>
      </c>
      <c r="D39" s="681">
        <f t="shared" si="6"/>
        <v>1.5269509050460643</v>
      </c>
      <c r="E39" s="871">
        <f>E37*(1+$B$39)^10</f>
        <v>1.5848686470638911</v>
      </c>
      <c r="F39" s="853"/>
      <c r="G39" s="871">
        <f>G37*(1+$B$39)^10</f>
        <v>1.3930397344051204</v>
      </c>
      <c r="H39" s="871">
        <f>H37*(1+$B$39)^10</f>
        <v>0.39173965864483357</v>
      </c>
      <c r="M39" s="424"/>
    </row>
    <row r="40" spans="1:13" s="396" customFormat="1" ht="14.65" thickBot="1" x14ac:dyDescent="0.5">
      <c r="A40" s="663" t="s">
        <v>888</v>
      </c>
      <c r="B40" s="876">
        <f>B39</f>
        <v>0.02</v>
      </c>
      <c r="C40" s="699">
        <f t="shared" si="6"/>
        <v>2.6135240364687595</v>
      </c>
      <c r="D40" s="699">
        <f t="shared" si="6"/>
        <v>1.5066771031135202</v>
      </c>
      <c r="E40" s="872">
        <f>E38*(1+$B$39)^10</f>
        <v>1.5066771031135202</v>
      </c>
      <c r="F40" s="853"/>
      <c r="G40" s="872">
        <f>G38*(1+$B$39)^10</f>
        <v>1.5066771031135202</v>
      </c>
      <c r="H40" s="872">
        <f>H38*(1+$B$39)^10</f>
        <v>1.5066771031135202</v>
      </c>
      <c r="M40" s="861"/>
    </row>
    <row r="41" spans="1:13" s="396" customFormat="1" x14ac:dyDescent="0.45"/>
    <row r="42" spans="1:13" s="396" customFormat="1" x14ac:dyDescent="0.45"/>
    <row r="43" spans="1:13" s="396" customFormat="1" x14ac:dyDescent="0.45">
      <c r="A43" s="664"/>
      <c r="B43" s="665"/>
      <c r="C43" s="884"/>
      <c r="D43" s="884"/>
      <c r="E43" s="887"/>
      <c r="F43" s="665"/>
      <c r="G43" s="885"/>
      <c r="H43" s="886"/>
      <c r="I43" s="421"/>
    </row>
    <row r="44" spans="1:13" s="396" customFormat="1" x14ac:dyDescent="0.45">
      <c r="A44" s="664"/>
      <c r="B44" s="665"/>
      <c r="C44" s="878"/>
      <c r="D44" s="878"/>
      <c r="E44" s="878"/>
      <c r="F44" s="878"/>
      <c r="G44" s="879"/>
      <c r="H44" s="879"/>
      <c r="I44" s="882"/>
    </row>
    <row r="45" spans="1:13" x14ac:dyDescent="0.45">
      <c r="A45" s="396"/>
      <c r="B45" s="396"/>
      <c r="C45" s="396"/>
      <c r="D45" s="396"/>
      <c r="E45" s="396"/>
      <c r="F45" s="448"/>
      <c r="G45" s="396"/>
      <c r="H45" s="396"/>
      <c r="I45" s="882"/>
      <c r="J45" s="880"/>
    </row>
    <row r="46" spans="1:13" x14ac:dyDescent="0.45">
      <c r="A46" s="664"/>
      <c r="B46" s="665"/>
      <c r="C46" s="665"/>
      <c r="D46" s="665"/>
      <c r="E46" s="665"/>
      <c r="F46" s="665"/>
      <c r="G46" s="396"/>
      <c r="H46" s="396"/>
      <c r="I46" s="882"/>
      <c r="J46" s="880"/>
    </row>
    <row r="47" spans="1:13" x14ac:dyDescent="0.45">
      <c r="I47" s="883"/>
      <c r="J47" s="881"/>
    </row>
    <row r="48" spans="1:13" x14ac:dyDescent="0.45">
      <c r="A48" s="422"/>
      <c r="B48" s="422"/>
      <c r="C48" s="422"/>
      <c r="D48" s="422"/>
      <c r="E48" s="667"/>
      <c r="F48" s="667"/>
      <c r="G48" s="455"/>
      <c r="H48" s="668"/>
      <c r="I48" s="422"/>
    </row>
    <row r="49" spans="1:10" x14ac:dyDescent="0.45">
      <c r="A49" s="422"/>
      <c r="B49" s="422"/>
      <c r="C49" s="422"/>
      <c r="D49" s="422"/>
      <c r="E49" s="666"/>
      <c r="F49" s="666"/>
      <c r="G49" s="455"/>
      <c r="H49" s="666"/>
      <c r="I49" s="422"/>
    </row>
    <row r="50" spans="1:10" x14ac:dyDescent="0.45">
      <c r="A50" s="422"/>
      <c r="B50" s="422"/>
      <c r="C50" s="422"/>
      <c r="D50" s="422"/>
      <c r="E50" s="669"/>
      <c r="F50" s="669"/>
      <c r="G50" s="455"/>
      <c r="H50" s="670"/>
      <c r="I50" s="422"/>
    </row>
    <row r="51" spans="1:10" x14ac:dyDescent="0.45">
      <c r="A51" s="422"/>
      <c r="B51" s="670"/>
      <c r="C51" s="670"/>
      <c r="D51" s="670"/>
      <c r="E51" s="671"/>
      <c r="F51" s="671"/>
      <c r="G51" s="455"/>
      <c r="H51" s="670"/>
      <c r="I51" s="422"/>
    </row>
    <row r="52" spans="1:10" x14ac:dyDescent="0.45">
      <c r="A52" s="422"/>
      <c r="B52" s="422"/>
      <c r="C52" s="422"/>
      <c r="D52" s="422"/>
      <c r="E52" s="667"/>
      <c r="F52" s="667"/>
      <c r="G52" s="455"/>
      <c r="H52" s="670"/>
      <c r="I52" s="422"/>
    </row>
    <row r="53" spans="1:10" x14ac:dyDescent="0.45">
      <c r="A53" s="422"/>
      <c r="B53" s="422"/>
      <c r="C53" s="422"/>
      <c r="D53" s="422"/>
      <c r="E53" s="672"/>
      <c r="F53" s="672"/>
      <c r="G53" s="455"/>
      <c r="H53" s="673"/>
      <c r="I53" s="422"/>
    </row>
    <row r="54" spans="1:10" x14ac:dyDescent="0.45">
      <c r="A54" s="422"/>
      <c r="B54" s="422"/>
      <c r="C54" s="422"/>
      <c r="D54" s="422"/>
      <c r="E54" s="669"/>
      <c r="F54" s="669"/>
      <c r="G54" s="455"/>
      <c r="H54" s="670"/>
      <c r="I54" s="422"/>
    </row>
    <row r="55" spans="1:10" x14ac:dyDescent="0.45">
      <c r="A55" s="674"/>
      <c r="B55" s="675"/>
      <c r="C55" s="675"/>
      <c r="D55" s="675"/>
      <c r="E55" s="676"/>
      <c r="F55" s="676"/>
      <c r="G55" s="677"/>
      <c r="H55" s="422"/>
      <c r="I55" s="422"/>
      <c r="J55" s="396"/>
    </row>
    <row r="56" spans="1:10" x14ac:dyDescent="0.45">
      <c r="A56" s="674"/>
      <c r="B56" s="675"/>
      <c r="C56" s="675"/>
      <c r="D56" s="675"/>
      <c r="E56" s="676"/>
      <c r="F56" s="676"/>
      <c r="G56" s="677"/>
      <c r="H56" s="422"/>
      <c r="I56" s="422"/>
    </row>
  </sheetData>
  <sheetProtection algorithmName="SHA-512" hashValue="ihrtuGF5f2kXDTD/XsUPK9VBatvB05ml3/FKTcDEffORUfyZZumI1Suku521BukpCzvrPpdYBK1VgVXr1CE+VQ==" saltValue="xtvFSm57PRAvuHMRykN9mw==" spinCount="100000" sheet="1" selectLockedCells="1"/>
  <pageMargins left="0.7" right="0.7" top="0.75" bottom="0.75" header="0.3" footer="0.3"/>
  <pageSetup paperSize="9" scale="66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F41"/>
  <sheetViews>
    <sheetView topLeftCell="A6" zoomScale="75" zoomScaleNormal="75" workbookViewId="0">
      <selection activeCell="B18" sqref="B18"/>
    </sheetView>
  </sheetViews>
  <sheetFormatPr defaultRowHeight="14.25" x14ac:dyDescent="0.45"/>
  <cols>
    <col min="1" max="1" width="49.73046875" style="120" customWidth="1"/>
    <col min="2" max="2" width="7.1328125" style="120" customWidth="1"/>
    <col min="3" max="6" width="9.06640625" style="120"/>
    <col min="7" max="7" width="1.3984375" style="120" customWidth="1"/>
    <col min="8" max="11" width="9.06640625" style="120"/>
    <col min="12" max="12" width="15.53125" style="120" customWidth="1"/>
    <col min="13" max="13" width="13.9296875" style="120" customWidth="1"/>
    <col min="14" max="28" width="9.06640625" style="120"/>
    <col min="29" max="29" width="11.73046875" style="120" customWidth="1"/>
    <col min="30" max="16384" width="9.06640625" style="120"/>
  </cols>
  <sheetData>
    <row r="1" spans="1:32" ht="20.65" x14ac:dyDescent="0.6">
      <c r="A1" s="599" t="s">
        <v>419</v>
      </c>
      <c r="B1" s="600" t="str">
        <f>MKT!C1</f>
        <v>UK</v>
      </c>
      <c r="C1" s="601"/>
    </row>
    <row r="2" spans="1:32" ht="17.649999999999999" x14ac:dyDescent="0.5">
      <c r="A2" s="601"/>
      <c r="B2" s="653"/>
      <c r="C2" s="601"/>
    </row>
    <row r="3" spans="1:32" ht="17.649999999999999" x14ac:dyDescent="0.5">
      <c r="A3" s="601"/>
      <c r="B3" s="653"/>
      <c r="C3" s="601"/>
    </row>
    <row r="4" spans="1:32" ht="14.65" thickBot="1" x14ac:dyDescent="0.5">
      <c r="A4" s="752"/>
    </row>
    <row r="5" spans="1:32" ht="17.649999999999999" x14ac:dyDescent="0.5">
      <c r="A5" s="724"/>
      <c r="B5" s="753"/>
      <c r="C5" s="754" t="s">
        <v>830</v>
      </c>
      <c r="D5" s="726"/>
      <c r="E5" s="726"/>
      <c r="F5" s="755"/>
      <c r="G5" s="726"/>
      <c r="H5" s="754" t="s">
        <v>831</v>
      </c>
      <c r="I5" s="726"/>
      <c r="J5" s="726"/>
      <c r="K5" s="756"/>
      <c r="S5" s="757"/>
      <c r="T5" s="757"/>
      <c r="U5" s="46"/>
      <c r="V5" s="46"/>
      <c r="W5" s="46"/>
      <c r="X5" s="758"/>
      <c r="Y5" s="757"/>
      <c r="Z5" s="46"/>
      <c r="AA5" s="46"/>
      <c r="AB5" s="46"/>
      <c r="AC5" s="758"/>
      <c r="AD5" s="757"/>
      <c r="AE5" s="46"/>
      <c r="AF5" s="46"/>
    </row>
    <row r="6" spans="1:32" ht="17.649999999999999" x14ac:dyDescent="0.5">
      <c r="A6" s="734"/>
      <c r="B6" s="759"/>
      <c r="C6" s="735" t="s">
        <v>22</v>
      </c>
      <c r="D6" s="735" t="s">
        <v>23</v>
      </c>
      <c r="E6" s="735" t="s">
        <v>48</v>
      </c>
      <c r="F6" s="735" t="s">
        <v>6</v>
      </c>
      <c r="G6" s="760"/>
      <c r="H6" s="735" t="s">
        <v>22</v>
      </c>
      <c r="I6" s="735" t="s">
        <v>23</v>
      </c>
      <c r="J6" s="735" t="s">
        <v>48</v>
      </c>
      <c r="K6" s="761" t="s">
        <v>6</v>
      </c>
      <c r="S6" s="757"/>
      <c r="T6" s="461"/>
      <c r="U6" s="461"/>
      <c r="V6" s="461"/>
      <c r="W6" s="461"/>
      <c r="X6" s="758"/>
      <c r="Y6" s="461"/>
      <c r="Z6" s="461"/>
      <c r="AA6" s="461"/>
      <c r="AB6" s="461"/>
      <c r="AC6" s="758"/>
      <c r="AD6" s="758"/>
      <c r="AE6" s="758"/>
      <c r="AF6" s="46"/>
    </row>
    <row r="7" spans="1:32" ht="18" x14ac:dyDescent="0.55000000000000004">
      <c r="A7" s="738" t="s">
        <v>19</v>
      </c>
      <c r="B7" s="762"/>
      <c r="C7" s="169">
        <f>'MKT1'!M11</f>
        <v>1.4514566558877577</v>
      </c>
      <c r="D7" s="169">
        <f>'MKT1'!M15</f>
        <v>4.7267365475397618</v>
      </c>
      <c r="E7" s="169">
        <f>'MKT1'!M14</f>
        <v>0.24877560776525065</v>
      </c>
      <c r="F7" s="169">
        <f>SUM(C7:E7)</f>
        <v>6.4269688111927703</v>
      </c>
      <c r="G7" s="763"/>
      <c r="H7" s="169">
        <f>'MKT2'!M11</f>
        <v>1.4372893040927539</v>
      </c>
      <c r="I7" s="169">
        <f>'MKT2'!M15</f>
        <v>3.2792019695745593</v>
      </c>
      <c r="J7" s="169">
        <f>'MKT2'!M14</f>
        <v>2.18613464638304</v>
      </c>
      <c r="K7" s="764">
        <f>SUM(H7:J7)</f>
        <v>6.9026259200503528</v>
      </c>
      <c r="S7" s="46"/>
      <c r="T7" s="758"/>
      <c r="U7" s="758"/>
      <c r="V7" s="758"/>
      <c r="W7" s="758"/>
      <c r="X7" s="758"/>
      <c r="Y7" s="758"/>
      <c r="Z7" s="758"/>
      <c r="AA7" s="758"/>
      <c r="AB7" s="758"/>
      <c r="AC7" s="758"/>
      <c r="AD7" s="758"/>
      <c r="AE7" s="758"/>
      <c r="AF7" s="46"/>
    </row>
    <row r="8" spans="1:32" ht="18" x14ac:dyDescent="0.55000000000000004">
      <c r="A8" s="738" t="s">
        <v>164</v>
      </c>
      <c r="B8" s="762"/>
      <c r="C8" s="747">
        <f>'MKT1'!M18</f>
        <v>6.5338100911718984</v>
      </c>
      <c r="D8" s="747">
        <f>'MKT1'!M21</f>
        <v>3.7666927577838005</v>
      </c>
      <c r="E8" s="747">
        <f>'MKT1'!M20</f>
        <v>3.7666927577838005</v>
      </c>
      <c r="F8" s="747"/>
      <c r="G8" s="747"/>
      <c r="H8" s="747">
        <f>'MKT2'!M18</f>
        <v>6.5338100911718984</v>
      </c>
      <c r="I8" s="747">
        <f>'MKT2'!M21</f>
        <v>4.1527016121733373</v>
      </c>
      <c r="J8" s="747">
        <f>'MKT2'!M20</f>
        <v>3.0900000000000007</v>
      </c>
      <c r="K8" s="748"/>
      <c r="S8" s="46"/>
      <c r="T8" s="758"/>
      <c r="U8" s="758"/>
      <c r="V8" s="758"/>
      <c r="W8" s="758"/>
      <c r="X8" s="758"/>
      <c r="Y8" s="758"/>
      <c r="Z8" s="758"/>
      <c r="AA8" s="758"/>
      <c r="AB8" s="758"/>
      <c r="AC8" s="758"/>
      <c r="AD8" s="758"/>
      <c r="AE8" s="758"/>
      <c r="AF8" s="46"/>
    </row>
    <row r="9" spans="1:32" ht="18" x14ac:dyDescent="0.55000000000000004">
      <c r="A9" s="738" t="s">
        <v>165</v>
      </c>
      <c r="B9" s="762"/>
      <c r="C9" s="747">
        <f>CARR1!C39</f>
        <v>0.70895772197403406</v>
      </c>
      <c r="D9" s="747">
        <f>CARR1!D39</f>
        <v>1.5269509050460643</v>
      </c>
      <c r="E9" s="747">
        <f>CARR1!G39</f>
        <v>1.3930397344051204</v>
      </c>
      <c r="F9" s="747">
        <f>F15/F7</f>
        <v>1.3370331508509976</v>
      </c>
      <c r="G9" s="747"/>
      <c r="H9" s="747">
        <f>CARR1!C39</f>
        <v>0.70895772197403406</v>
      </c>
      <c r="I9" s="747">
        <f>CARR1!E39</f>
        <v>1.5848686470638911</v>
      </c>
      <c r="J9" s="747">
        <f>CARR1!H39</f>
        <v>0.39173965864483357</v>
      </c>
      <c r="K9" s="748">
        <f>K15/K7</f>
        <v>1.0246067890479378</v>
      </c>
      <c r="S9" s="46"/>
      <c r="T9" s="461"/>
      <c r="U9" s="461"/>
      <c r="V9" s="461"/>
      <c r="W9" s="461"/>
      <c r="X9" s="758"/>
      <c r="Y9" s="461"/>
      <c r="Z9" s="461"/>
      <c r="AA9" s="461"/>
      <c r="AB9" s="461"/>
      <c r="AC9" s="758"/>
      <c r="AD9" s="758"/>
      <c r="AE9" s="758"/>
      <c r="AF9" s="46"/>
    </row>
    <row r="10" spans="1:32" ht="18" x14ac:dyDescent="0.55000000000000004">
      <c r="A10" s="738" t="s">
        <v>364</v>
      </c>
      <c r="B10" s="762"/>
      <c r="C10" s="747">
        <f>CARR1!C40</f>
        <v>2.6135240364687595</v>
      </c>
      <c r="D10" s="747">
        <f>CARR1!D40</f>
        <v>1.5066771031135202</v>
      </c>
      <c r="E10" s="747">
        <f>CARR1!D40</f>
        <v>1.5066771031135202</v>
      </c>
      <c r="F10" s="747">
        <f>F16/F7</f>
        <v>1.7566456957212164</v>
      </c>
      <c r="G10" s="747"/>
      <c r="H10" s="747">
        <f>CARR1!C40</f>
        <v>2.6135240364687595</v>
      </c>
      <c r="I10" s="747">
        <f>CARR1!D40</f>
        <v>1.5066771031135202</v>
      </c>
      <c r="J10" s="747">
        <f>CARR1!D40</f>
        <v>1.5066771031135202</v>
      </c>
      <c r="K10" s="748">
        <f>K16/K7</f>
        <v>1.737148705805811</v>
      </c>
      <c r="S10" s="46"/>
      <c r="T10" s="461"/>
      <c r="U10" s="461"/>
      <c r="V10" s="461"/>
      <c r="W10" s="461"/>
      <c r="X10" s="758"/>
      <c r="Y10" s="461"/>
      <c r="Z10" s="461"/>
      <c r="AA10" s="461"/>
      <c r="AB10" s="461"/>
      <c r="AC10" s="758"/>
      <c r="AD10" s="758"/>
      <c r="AE10" s="758"/>
      <c r="AF10" s="46"/>
    </row>
    <row r="11" spans="1:32" ht="18" x14ac:dyDescent="0.55000000000000004">
      <c r="A11" s="738" t="s">
        <v>166</v>
      </c>
      <c r="B11" s="762"/>
      <c r="C11" s="747"/>
      <c r="D11" s="747"/>
      <c r="E11" s="747">
        <f>DOPN2!B14</f>
        <v>0</v>
      </c>
      <c r="F11" s="747"/>
      <c r="G11" s="747"/>
      <c r="H11" s="747"/>
      <c r="I11" s="747"/>
      <c r="J11" s="747">
        <f>DOPN2!L14</f>
        <v>0.5</v>
      </c>
      <c r="K11" s="748"/>
      <c r="S11" s="46"/>
      <c r="T11" s="765"/>
      <c r="U11" s="765"/>
      <c r="V11" s="765"/>
      <c r="W11" s="765"/>
      <c r="X11" s="758"/>
      <c r="Y11" s="765"/>
      <c r="Z11" s="765"/>
      <c r="AA11" s="765"/>
      <c r="AB11" s="765"/>
      <c r="AC11" s="758"/>
      <c r="AD11" s="758"/>
      <c r="AE11" s="758"/>
      <c r="AF11" s="46"/>
    </row>
    <row r="12" spans="1:32" ht="18" x14ac:dyDescent="0.55000000000000004">
      <c r="A12" s="738" t="s">
        <v>366</v>
      </c>
      <c r="B12" s="762"/>
      <c r="C12" s="747">
        <f>C8-C10-C9</f>
        <v>3.2113283327291047</v>
      </c>
      <c r="D12" s="747">
        <f>D8-D10-D9</f>
        <v>0.73306474962421597</v>
      </c>
      <c r="E12" s="747">
        <f>E8-E10-E9-E11</f>
        <v>0.86697592026515991</v>
      </c>
      <c r="F12" s="747">
        <f>F17/F7</f>
        <v>1.297935392730827</v>
      </c>
      <c r="G12" s="747"/>
      <c r="H12" s="747">
        <f>H8-H10-H9</f>
        <v>3.2113283327291047</v>
      </c>
      <c r="I12" s="747">
        <f>I8-I10-I9</f>
        <v>1.061155861995926</v>
      </c>
      <c r="J12" s="747">
        <f>J8-J10-J9-J11</f>
        <v>0.69158323824164691</v>
      </c>
      <c r="K12" s="748">
        <f>K17/K7</f>
        <v>1.3918248571627574</v>
      </c>
      <c r="S12" s="46"/>
      <c r="T12" s="758"/>
      <c r="U12" s="758"/>
      <c r="V12" s="758"/>
      <c r="W12" s="461"/>
      <c r="X12" s="758"/>
      <c r="Y12" s="758"/>
      <c r="Z12" s="758"/>
      <c r="AA12" s="758"/>
      <c r="AB12" s="461"/>
      <c r="AC12" s="758"/>
      <c r="AD12" s="766"/>
      <c r="AE12" s="46"/>
      <c r="AF12" s="767"/>
    </row>
    <row r="13" spans="1:32" ht="18" x14ac:dyDescent="0.55000000000000004">
      <c r="A13" s="738"/>
      <c r="B13" s="762"/>
      <c r="C13" s="747"/>
      <c r="D13" s="747"/>
      <c r="E13" s="747"/>
      <c r="F13" s="747"/>
      <c r="G13" s="747"/>
      <c r="H13" s="747"/>
      <c r="I13" s="747"/>
      <c r="J13" s="747"/>
      <c r="K13" s="748"/>
      <c r="S13" s="46"/>
      <c r="T13" s="758"/>
      <c r="U13" s="758"/>
      <c r="V13" s="758"/>
      <c r="W13" s="758"/>
      <c r="X13" s="758"/>
      <c r="Y13" s="758"/>
      <c r="Z13" s="758"/>
      <c r="AA13" s="758"/>
      <c r="AB13" s="758"/>
      <c r="AC13" s="768"/>
      <c r="AD13" s="769"/>
      <c r="AE13" s="46"/>
      <c r="AF13" s="46"/>
    </row>
    <row r="14" spans="1:32" ht="18" x14ac:dyDescent="0.55000000000000004">
      <c r="A14" s="738" t="s">
        <v>167</v>
      </c>
      <c r="B14" s="762"/>
      <c r="C14" s="747">
        <f>C7*C8</f>
        <v>9.4835421451380491</v>
      </c>
      <c r="D14" s="747">
        <f>D7*D8</f>
        <v>17.804164321570024</v>
      </c>
      <c r="E14" s="747">
        <f>E7*E8</f>
        <v>0.93706128008263301</v>
      </c>
      <c r="F14" s="747">
        <f t="shared" ref="F14:F16" si="0">SUM(C14:E14)</f>
        <v>28.224767746790707</v>
      </c>
      <c r="G14" s="747"/>
      <c r="H14" s="747">
        <f>H7*H8</f>
        <v>9.3909753590146714</v>
      </c>
      <c r="I14" s="747">
        <f>I7*I8</f>
        <v>13.617547305694256</v>
      </c>
      <c r="J14" s="747">
        <f>J7*J8</f>
        <v>6.7551560573235951</v>
      </c>
      <c r="K14" s="748">
        <f t="shared" ref="K14:K16" si="1">SUM(H14:J14)</f>
        <v>29.763678722032523</v>
      </c>
      <c r="S14" s="46"/>
      <c r="T14" s="758"/>
      <c r="U14" s="758"/>
      <c r="V14" s="758"/>
      <c r="W14" s="758"/>
      <c r="X14" s="758"/>
      <c r="Y14" s="758"/>
      <c r="Z14" s="758"/>
      <c r="AA14" s="758"/>
      <c r="AB14" s="758"/>
      <c r="AC14" s="770"/>
      <c r="AD14" s="766"/>
      <c r="AE14" s="46"/>
      <c r="AF14" s="46"/>
    </row>
    <row r="15" spans="1:32" ht="18" x14ac:dyDescent="0.55000000000000004">
      <c r="A15" s="738" t="s">
        <v>168</v>
      </c>
      <c r="B15" s="762"/>
      <c r="C15" s="747">
        <f>C9*C7</f>
        <v>1.0290214043022341</v>
      </c>
      <c r="D15" s="747">
        <f>D9*D7</f>
        <v>7.217494649180149</v>
      </c>
      <c r="E15" s="747">
        <f>E9*E7</f>
        <v>0.34655430656777719</v>
      </c>
      <c r="F15" s="747">
        <f>SUM(C15:E15)</f>
        <v>8.5930703600501595</v>
      </c>
      <c r="G15" s="747"/>
      <c r="H15" s="747">
        <f>H9*H7</f>
        <v>1.0189773508472435</v>
      </c>
      <c r="I15" s="747">
        <f>I9*I7</f>
        <v>5.1971043889688788</v>
      </c>
      <c r="J15" s="747">
        <f>J9*J7</f>
        <v>0.85639564012573599</v>
      </c>
      <c r="K15" s="748">
        <f>SUM(H15:J15)</f>
        <v>7.0724773799418585</v>
      </c>
      <c r="S15" s="46"/>
      <c r="T15" s="758"/>
      <c r="U15" s="758"/>
      <c r="V15" s="758"/>
      <c r="W15" s="758"/>
      <c r="X15" s="758"/>
      <c r="Y15" s="758"/>
      <c r="Z15" s="758"/>
      <c r="AA15" s="758"/>
      <c r="AB15" s="758"/>
      <c r="AC15" s="768"/>
      <c r="AD15" s="769"/>
      <c r="AE15" s="46"/>
      <c r="AF15" s="46"/>
    </row>
    <row r="16" spans="1:32" ht="18" x14ac:dyDescent="0.55000000000000004">
      <c r="A16" s="738" t="s">
        <v>360</v>
      </c>
      <c r="B16" s="762"/>
      <c r="C16" s="747">
        <f>C10*C7</f>
        <v>3.7934168580552199</v>
      </c>
      <c r="D16" s="747">
        <f>D10*D7</f>
        <v>7.1216657286280105</v>
      </c>
      <c r="E16" s="747">
        <f>E10*E7</f>
        <v>0.37482451203305323</v>
      </c>
      <c r="F16" s="747">
        <f t="shared" si="0"/>
        <v>11.289907098716283</v>
      </c>
      <c r="G16" s="747"/>
      <c r="H16" s="747">
        <f>H10*H7</f>
        <v>3.7563901436058686</v>
      </c>
      <c r="I16" s="747">
        <f>I10*I7</f>
        <v>4.9406985240427472</v>
      </c>
      <c r="J16" s="747">
        <f>J10*J7</f>
        <v>3.2937990160284984</v>
      </c>
      <c r="K16" s="748">
        <f t="shared" si="1"/>
        <v>11.990887683677116</v>
      </c>
      <c r="S16" s="46"/>
      <c r="T16" s="758"/>
      <c r="U16" s="758"/>
      <c r="V16" s="758"/>
      <c r="W16" s="758"/>
      <c r="X16" s="758"/>
      <c r="Y16" s="758"/>
      <c r="Z16" s="758"/>
      <c r="AA16" s="758"/>
      <c r="AB16" s="758"/>
      <c r="AC16" s="46"/>
      <c r="AD16" s="769"/>
      <c r="AE16" s="46"/>
      <c r="AF16" s="46"/>
    </row>
    <row r="17" spans="1:16" ht="18" x14ac:dyDescent="0.55000000000000004">
      <c r="A17" s="738" t="s">
        <v>361</v>
      </c>
      <c r="B17" s="762"/>
      <c r="C17" s="747">
        <f>C7*C12</f>
        <v>4.6611038827805951</v>
      </c>
      <c r="D17" s="747">
        <f>D7*D12</f>
        <v>3.4650039437618667</v>
      </c>
      <c r="E17" s="747">
        <f>E7*E12</f>
        <v>0.21568246148180265</v>
      </c>
      <c r="F17" s="747">
        <f>SUM(C17:E17)</f>
        <v>8.3417902880242654</v>
      </c>
      <c r="G17" s="747"/>
      <c r="H17" s="747">
        <f>H7*H12</f>
        <v>4.6156078645615581</v>
      </c>
      <c r="I17" s="747">
        <f>I7*I12</f>
        <v>3.4797443926826301</v>
      </c>
      <c r="J17" s="747">
        <f>J7*J12</f>
        <v>1.5118940779778405</v>
      </c>
      <c r="K17" s="748">
        <f>SUM(H17:J17)</f>
        <v>9.6072463352220296</v>
      </c>
      <c r="L17" s="477"/>
    </row>
    <row r="18" spans="1:16" ht="18" x14ac:dyDescent="0.55000000000000004">
      <c r="A18" s="738" t="s">
        <v>362</v>
      </c>
      <c r="B18" s="700">
        <v>0.2</v>
      </c>
      <c r="C18" s="747"/>
      <c r="D18" s="747"/>
      <c r="E18" s="747"/>
      <c r="F18" s="747">
        <f>F14*B18</f>
        <v>5.6449535493581422</v>
      </c>
      <c r="G18" s="747"/>
      <c r="H18" s="747"/>
      <c r="I18" s="747"/>
      <c r="J18" s="747"/>
      <c r="K18" s="748">
        <f>K14*B18</f>
        <v>5.952735744406505</v>
      </c>
      <c r="L18" s="477"/>
    </row>
    <row r="19" spans="1:16" ht="18" x14ac:dyDescent="0.55000000000000004">
      <c r="A19" s="738" t="s">
        <v>371</v>
      </c>
      <c r="B19" s="701">
        <v>20</v>
      </c>
      <c r="C19" s="747"/>
      <c r="D19" s="747"/>
      <c r="E19" s="747"/>
      <c r="F19" s="747">
        <f>F37*L38/B19/1000000000</f>
        <v>0.23198060586013119</v>
      </c>
      <c r="G19" s="747"/>
      <c r="H19" s="747"/>
      <c r="I19" s="747"/>
      <c r="J19" s="747"/>
      <c r="K19" s="747">
        <f>K37*L38/B19/1000000000</f>
        <v>0.19093030998077487</v>
      </c>
      <c r="L19" s="477"/>
    </row>
    <row r="20" spans="1:16" ht="18" x14ac:dyDescent="0.55000000000000004">
      <c r="A20" s="738" t="s">
        <v>363</v>
      </c>
      <c r="B20" s="751"/>
      <c r="C20" s="747"/>
      <c r="D20" s="747"/>
      <c r="E20" s="747"/>
      <c r="F20" s="747">
        <f>F17-F18-F19</f>
        <v>2.4648561328059921</v>
      </c>
      <c r="G20" s="747"/>
      <c r="H20" s="747"/>
      <c r="I20" s="747"/>
      <c r="J20" s="747"/>
      <c r="K20" s="748">
        <f>K17-K18-K19</f>
        <v>3.4635802808347496</v>
      </c>
      <c r="L20" s="477"/>
    </row>
    <row r="21" spans="1:16" ht="18" x14ac:dyDescent="0.55000000000000004">
      <c r="A21" s="738" t="s">
        <v>125</v>
      </c>
      <c r="B21" s="702">
        <v>0.5</v>
      </c>
      <c r="C21" s="747"/>
      <c r="D21" s="747"/>
      <c r="E21" s="747"/>
      <c r="F21" s="747"/>
      <c r="G21" s="747"/>
      <c r="H21" s="747"/>
      <c r="I21" s="747"/>
      <c r="J21" s="747"/>
      <c r="K21" s="748">
        <f>(K20-F20)*B21</f>
        <v>0.49936207401437871</v>
      </c>
    </row>
    <row r="22" spans="1:16" x14ac:dyDescent="0.45">
      <c r="A22" s="749" t="s">
        <v>277</v>
      </c>
      <c r="B22" s="43"/>
      <c r="C22" s="43"/>
      <c r="D22" s="43"/>
      <c r="E22" s="43"/>
      <c r="F22" s="682">
        <f>F20-F21</f>
        <v>2.4648561328059921</v>
      </c>
      <c r="G22" s="43"/>
      <c r="H22" s="43"/>
      <c r="I22" s="43"/>
      <c r="J22" s="43"/>
      <c r="K22" s="694">
        <f>K20-K21</f>
        <v>2.9642182068203708</v>
      </c>
    </row>
    <row r="23" spans="1:16" x14ac:dyDescent="0.45">
      <c r="A23" s="749" t="s">
        <v>359</v>
      </c>
      <c r="B23" s="43"/>
      <c r="C23" s="43"/>
      <c r="D23" s="43"/>
      <c r="E23" s="43"/>
      <c r="F23" s="47">
        <f>F22/F14</f>
        <v>8.732954527451367E-2</v>
      </c>
      <c r="G23" s="43"/>
      <c r="H23" s="43"/>
      <c r="I23" s="43"/>
      <c r="J23" s="43"/>
      <c r="K23" s="750">
        <f>K22/K14</f>
        <v>9.9591795574184599E-2</v>
      </c>
    </row>
    <row r="24" spans="1:16" ht="18" x14ac:dyDescent="0.55000000000000004">
      <c r="A24" s="738" t="s">
        <v>41</v>
      </c>
      <c r="B24" s="703">
        <v>10</v>
      </c>
      <c r="C24" s="747"/>
      <c r="D24" s="747"/>
      <c r="E24" s="747"/>
      <c r="F24" s="747">
        <f>F22*B24</f>
        <v>24.64856132805992</v>
      </c>
      <c r="G24" s="747"/>
      <c r="H24" s="747"/>
      <c r="I24" s="747"/>
      <c r="J24" s="747"/>
      <c r="K24" s="748">
        <f>K22*B24</f>
        <v>29.642182068203709</v>
      </c>
    </row>
    <row r="25" spans="1:16" s="627" customFormat="1" ht="18" thickBot="1" x14ac:dyDescent="0.5">
      <c r="A25" s="709" t="s">
        <v>169</v>
      </c>
      <c r="B25" s="710"/>
      <c r="C25" s="711"/>
      <c r="D25" s="711"/>
      <c r="E25" s="711"/>
      <c r="F25" s="711"/>
      <c r="G25" s="711"/>
      <c r="H25" s="711"/>
      <c r="I25" s="711"/>
      <c r="J25" s="711"/>
      <c r="K25" s="712">
        <f>K24-F24</f>
        <v>4.9936207401437898</v>
      </c>
      <c r="L25" s="120"/>
      <c r="M25" s="120"/>
      <c r="O25" s="120"/>
      <c r="P25" s="713"/>
    </row>
    <row r="26" spans="1:16" s="627" customFormat="1" ht="17.649999999999999" x14ac:dyDescent="0.45">
      <c r="A26" s="714" t="s">
        <v>374</v>
      </c>
      <c r="B26" s="715"/>
      <c r="C26" s="716"/>
      <c r="D26" s="716"/>
      <c r="E26" s="716"/>
      <c r="F26" s="716"/>
      <c r="G26" s="716"/>
      <c r="H26" s="716"/>
      <c r="I26" s="716"/>
      <c r="J26" s="716"/>
      <c r="K26" s="717">
        <f>LCARR!L30/1000</f>
        <v>1.8526944594434669</v>
      </c>
      <c r="L26" s="120"/>
      <c r="M26" s="120"/>
      <c r="N26" s="120"/>
      <c r="O26" s="120"/>
      <c r="P26" s="713"/>
    </row>
    <row r="27" spans="1:16" s="627" customFormat="1" ht="17.649999999999999" x14ac:dyDescent="0.45">
      <c r="A27" s="718"/>
      <c r="B27" s="719"/>
      <c r="C27" s="720"/>
      <c r="D27" s="720"/>
      <c r="E27" s="720"/>
      <c r="F27" s="720"/>
      <c r="G27" s="720"/>
      <c r="H27" s="720"/>
      <c r="I27" s="720"/>
      <c r="J27" s="720"/>
      <c r="K27" s="720"/>
      <c r="L27" s="120"/>
      <c r="M27" s="120"/>
      <c r="N27" s="120"/>
      <c r="O27" s="120"/>
      <c r="P27" s="713"/>
    </row>
    <row r="28" spans="1:16" s="627" customFormat="1" ht="17.649999999999999" x14ac:dyDescent="0.45">
      <c r="A28" s="718"/>
      <c r="B28" s="719"/>
      <c r="C28" s="720"/>
      <c r="D28" s="720"/>
      <c r="E28" s="720"/>
      <c r="F28" s="720"/>
      <c r="G28" s="720"/>
      <c r="H28" s="720"/>
      <c r="I28" s="720"/>
      <c r="J28" s="720"/>
      <c r="K28" s="720"/>
      <c r="L28" s="120"/>
      <c r="M28" s="120"/>
      <c r="N28" s="120"/>
      <c r="O28" s="120"/>
      <c r="P28" s="713"/>
    </row>
    <row r="29" spans="1:16" s="723" customFormat="1" ht="14.65" thickBot="1" x14ac:dyDescent="0.5">
      <c r="A29" s="422"/>
      <c r="B29" s="971"/>
      <c r="C29" s="971"/>
      <c r="D29" s="971"/>
      <c r="E29" s="971"/>
      <c r="F29" s="721"/>
      <c r="G29" s="971"/>
      <c r="H29" s="971"/>
      <c r="I29" s="971"/>
      <c r="J29" s="971"/>
      <c r="K29" s="721"/>
      <c r="L29" s="721"/>
      <c r="M29" s="721"/>
      <c r="N29" s="46"/>
      <c r="O29" s="46"/>
      <c r="P29" s="722"/>
    </row>
    <row r="30" spans="1:16" s="46" customFormat="1" ht="17.649999999999999" x14ac:dyDescent="0.5">
      <c r="A30" s="724"/>
      <c r="B30" s="725"/>
      <c r="C30" s="725"/>
      <c r="D30" s="726" t="s">
        <v>830</v>
      </c>
      <c r="E30" s="727"/>
      <c r="F30" s="728"/>
      <c r="G30" s="729"/>
      <c r="H30" s="725"/>
      <c r="I30" s="726" t="s">
        <v>831</v>
      </c>
      <c r="J30" s="729"/>
      <c r="K30" s="728"/>
      <c r="L30" s="730"/>
      <c r="M30" s="731"/>
      <c r="N30" s="732"/>
      <c r="O30" s="733"/>
    </row>
    <row r="31" spans="1:16" s="46" customFormat="1" ht="17.649999999999999" x14ac:dyDescent="0.5">
      <c r="A31" s="734"/>
      <c r="B31" s="553"/>
      <c r="C31" s="735" t="s">
        <v>22</v>
      </c>
      <c r="D31" s="735" t="s">
        <v>23</v>
      </c>
      <c r="E31" s="735" t="s">
        <v>48</v>
      </c>
      <c r="F31" s="735" t="s">
        <v>6</v>
      </c>
      <c r="G31" s="553"/>
      <c r="H31" s="735" t="s">
        <v>22</v>
      </c>
      <c r="I31" s="735" t="s">
        <v>23</v>
      </c>
      <c r="J31" s="735" t="s">
        <v>48</v>
      </c>
      <c r="K31" s="735" t="s">
        <v>6</v>
      </c>
      <c r="L31" s="736"/>
      <c r="M31" s="736"/>
      <c r="N31" s="736"/>
      <c r="O31" s="737"/>
    </row>
    <row r="32" spans="1:16" x14ac:dyDescent="0.45">
      <c r="A32" s="738" t="s">
        <v>193</v>
      </c>
      <c r="B32" s="43"/>
      <c r="C32" s="739">
        <f>'MKT1'!M11</f>
        <v>1.4514566558877577</v>
      </c>
      <c r="D32" s="739">
        <f>'MKT1'!M15</f>
        <v>4.7267365475397618</v>
      </c>
      <c r="E32" s="739">
        <f>'MKT1'!M14</f>
        <v>0.24877560776525065</v>
      </c>
      <c r="F32" s="739">
        <f>SUM(C32:E32)</f>
        <v>6.4269688111927703</v>
      </c>
      <c r="G32" s="43"/>
      <c r="H32" s="739">
        <f>'MKT2'!M11</f>
        <v>1.4372893040927539</v>
      </c>
      <c r="I32" s="739">
        <f>'MKT2'!M15</f>
        <v>3.2792019695745593</v>
      </c>
      <c r="J32" s="739">
        <f>'MKT2'!M14</f>
        <v>2.18613464638304</v>
      </c>
      <c r="K32" s="739">
        <f>SUM(H32:J32)</f>
        <v>6.9026259200503528</v>
      </c>
      <c r="L32" s="169"/>
      <c r="M32" s="169"/>
      <c r="N32" s="169"/>
      <c r="O32" s="587"/>
    </row>
    <row r="33" spans="1:15" x14ac:dyDescent="0.45">
      <c r="A33" s="738" t="s">
        <v>36</v>
      </c>
      <c r="B33" s="43"/>
      <c r="C33" s="169">
        <f>CARR1!C21</f>
        <v>3.2</v>
      </c>
      <c r="D33" s="169">
        <f>CARR1!D21</f>
        <v>1.1000000000000001</v>
      </c>
      <c r="E33" s="169">
        <f>CARR1!G21</f>
        <v>1.2</v>
      </c>
      <c r="F33" s="169"/>
      <c r="G33" s="43"/>
      <c r="H33" s="169">
        <f>C33</f>
        <v>3.2</v>
      </c>
      <c r="I33" s="169">
        <f>CARR1!E21</f>
        <v>1.1000000000000001</v>
      </c>
      <c r="J33" s="169">
        <f>CARR1!H21</f>
        <v>9</v>
      </c>
      <c r="K33" s="169"/>
      <c r="L33" s="169"/>
      <c r="M33" s="169"/>
      <c r="N33" s="169"/>
      <c r="O33" s="587"/>
    </row>
    <row r="34" spans="1:15" x14ac:dyDescent="0.45">
      <c r="A34" s="738" t="s">
        <v>194</v>
      </c>
      <c r="B34" s="43"/>
      <c r="C34" s="509">
        <f>C32/C33*1000</f>
        <v>453.58020496492429</v>
      </c>
      <c r="D34" s="509">
        <f>D32/D33*1000</f>
        <v>4297.0332250361471</v>
      </c>
      <c r="E34" s="509">
        <f>E32/E33*1000</f>
        <v>207.31300647104223</v>
      </c>
      <c r="F34" s="509">
        <f>SUM(C34:E34)</f>
        <v>4957.9264364721139</v>
      </c>
      <c r="G34" s="43"/>
      <c r="H34" s="509">
        <f>H32/H33*1000</f>
        <v>449.15290752898557</v>
      </c>
      <c r="I34" s="509">
        <f>I32/I33*1000</f>
        <v>2981.0926996132357</v>
      </c>
      <c r="J34" s="509">
        <f>J32/J33*1000</f>
        <v>242.90384959811556</v>
      </c>
      <c r="K34" s="509">
        <f>SUM(H34:J34)</f>
        <v>3673.1494567403365</v>
      </c>
      <c r="L34" s="169"/>
      <c r="M34" s="169"/>
      <c r="N34" s="169"/>
      <c r="O34" s="587"/>
    </row>
    <row r="35" spans="1:15" x14ac:dyDescent="0.45">
      <c r="A35" s="738" t="s">
        <v>37</v>
      </c>
      <c r="B35" s="43"/>
      <c r="C35" s="509">
        <f>CARR1!C34</f>
        <v>100.47846889952154</v>
      </c>
      <c r="D35" s="509">
        <f>CARR1!D34</f>
        <v>135.71428571428569</v>
      </c>
      <c r="E35" s="509">
        <f>CARR1!G34</f>
        <v>136.36363636363632</v>
      </c>
      <c r="F35" s="509"/>
      <c r="G35" s="43"/>
      <c r="H35" s="509">
        <f>C35</f>
        <v>100.47846889952154</v>
      </c>
      <c r="I35" s="509">
        <f>CARR1!E34</f>
        <v>130.75471698113205</v>
      </c>
      <c r="J35" s="509">
        <f>CARR1!H34</f>
        <v>64.65517241379311</v>
      </c>
      <c r="K35" s="509"/>
      <c r="L35" s="169"/>
      <c r="M35" s="169"/>
      <c r="N35" s="169"/>
      <c r="O35" s="587"/>
    </row>
    <row r="36" spans="1:15" x14ac:dyDescent="0.45">
      <c r="A36" s="738" t="s">
        <v>38</v>
      </c>
      <c r="B36" s="43"/>
      <c r="C36" s="300">
        <f>C34/C35</f>
        <v>4.5142029922699605</v>
      </c>
      <c r="D36" s="300">
        <f>D34/D35</f>
        <v>31.66235007921372</v>
      </c>
      <c r="E36" s="300">
        <f>E34/E35</f>
        <v>1.5202953807876436</v>
      </c>
      <c r="F36" s="300">
        <f>SUM(C36:E36)</f>
        <v>37.696848452271325</v>
      </c>
      <c r="G36" s="43"/>
      <c r="H36" s="300">
        <f>H34/H35</f>
        <v>4.4701408415979982</v>
      </c>
      <c r="I36" s="300">
        <f>I34/I35</f>
        <v>22.799121656493728</v>
      </c>
      <c r="J36" s="300">
        <f>J34/J35</f>
        <v>3.756912873784187</v>
      </c>
      <c r="K36" s="300">
        <f>SUM(H36:J36)</f>
        <v>31.026175371875915</v>
      </c>
      <c r="L36" s="169"/>
      <c r="M36" s="740"/>
      <c r="N36" s="169"/>
      <c r="O36" s="587"/>
    </row>
    <row r="37" spans="1:15" ht="14.65" thickBot="1" x14ac:dyDescent="0.5">
      <c r="A37" s="741" t="s">
        <v>369</v>
      </c>
      <c r="B37" s="299"/>
      <c r="C37" s="243"/>
      <c r="D37" s="243"/>
      <c r="E37" s="243"/>
      <c r="F37" s="742">
        <f>F36/DOPN1!$B$8*10^6</f>
        <v>115990.30293006561</v>
      </c>
      <c r="G37" s="299"/>
      <c r="H37" s="243"/>
      <c r="I37" s="243"/>
      <c r="J37" s="243"/>
      <c r="K37" s="742">
        <f>K36/DOPN1!$B$8*10^6</f>
        <v>95465.15499038744</v>
      </c>
      <c r="L37" s="743">
        <f>F37-K37</f>
        <v>20525.147939678165</v>
      </c>
      <c r="M37" s="744" t="s">
        <v>42</v>
      </c>
      <c r="N37" s="745">
        <f>L37/F37</f>
        <v>0.17695572320432215</v>
      </c>
      <c r="O37" s="746" t="s">
        <v>195</v>
      </c>
    </row>
    <row r="38" spans="1:15" x14ac:dyDescent="0.45">
      <c r="A38" s="424"/>
      <c r="B38" s="705"/>
      <c r="C38" s="706"/>
      <c r="D38" s="706"/>
      <c r="E38" s="706"/>
      <c r="F38" s="706"/>
      <c r="G38" s="706"/>
      <c r="H38" s="706"/>
      <c r="I38" s="706"/>
      <c r="J38" s="706"/>
      <c r="K38" s="706"/>
      <c r="L38" s="704">
        <v>40000</v>
      </c>
      <c r="M38" s="708" t="s">
        <v>370</v>
      </c>
    </row>
    <row r="39" spans="1:15" x14ac:dyDescent="0.45">
      <c r="A39" s="424"/>
      <c r="B39" s="705"/>
      <c r="C39" s="706"/>
      <c r="D39" s="706"/>
      <c r="E39" s="706"/>
      <c r="F39" s="706"/>
      <c r="G39" s="706"/>
      <c r="H39" s="706"/>
      <c r="I39" s="706"/>
      <c r="J39" s="706"/>
      <c r="K39" s="706"/>
      <c r="L39" s="369"/>
      <c r="M39" s="369"/>
    </row>
    <row r="40" spans="1:15" x14ac:dyDescent="0.45">
      <c r="A40" s="424"/>
      <c r="B40" s="705"/>
      <c r="C40" s="706"/>
      <c r="D40" s="706"/>
      <c r="E40" s="706"/>
      <c r="F40" s="706"/>
      <c r="G40" s="706"/>
      <c r="H40" s="706"/>
      <c r="I40" s="706"/>
      <c r="J40" s="706"/>
      <c r="K40" s="706"/>
      <c r="L40" s="707"/>
      <c r="M40" s="369"/>
    </row>
    <row r="41" spans="1:15" x14ac:dyDescent="0.45">
      <c r="A41" s="424"/>
      <c r="B41" s="705"/>
      <c r="C41" s="706"/>
      <c r="D41" s="706"/>
      <c r="E41" s="706"/>
      <c r="F41" s="706"/>
      <c r="G41" s="706"/>
      <c r="H41" s="706"/>
      <c r="I41" s="706"/>
      <c r="J41" s="706"/>
      <c r="K41" s="706"/>
    </row>
  </sheetData>
  <sheetProtection algorithmName="SHA-512" hashValue="axn5TAJz1YAqy2f1Gdhjs3WRFd62++9h2tA+xHkikU1lle9cw9NUivfFrLjySRrErWlIz6zBm8qlmuFWBPM8Ng==" saltValue="7XUqDdE9CCfOOiO1yUoing==" spinCount="100000" sheet="1" selectLockedCells="1"/>
  <mergeCells count="2">
    <mergeCell ref="B29:E29"/>
    <mergeCell ref="G29:J2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9"/>
  <sheetViews>
    <sheetView zoomScale="75" zoomScaleNormal="75" workbookViewId="0">
      <selection activeCell="B14" sqref="B14"/>
    </sheetView>
  </sheetViews>
  <sheetFormatPr defaultRowHeight="14.25" x14ac:dyDescent="0.45"/>
  <cols>
    <col min="1" max="1" width="46" style="120" customWidth="1"/>
    <col min="2" max="16384" width="9.06640625" style="120"/>
  </cols>
  <sheetData>
    <row r="1" spans="1:13" ht="20.65" x14ac:dyDescent="0.6">
      <c r="A1" s="599" t="s">
        <v>424</v>
      </c>
      <c r="B1" s="772" t="str">
        <f>MKT!C1</f>
        <v>UK</v>
      </c>
    </row>
    <row r="2" spans="1:13" x14ac:dyDescent="0.45">
      <c r="A2" s="773" t="s">
        <v>218</v>
      </c>
      <c r="B2" s="772"/>
      <c r="M2" s="773"/>
    </row>
    <row r="3" spans="1:13" ht="18" thickBot="1" x14ac:dyDescent="0.55000000000000004">
      <c r="A3" s="601"/>
      <c r="B3" s="772"/>
    </row>
    <row r="4" spans="1:13" x14ac:dyDescent="0.45">
      <c r="A4" s="915"/>
      <c r="B4" s="916"/>
      <c r="C4" s="917" t="s">
        <v>9</v>
      </c>
      <c r="D4" s="917" t="s">
        <v>10</v>
      </c>
      <c r="E4" s="917" t="s">
        <v>11</v>
      </c>
      <c r="F4" s="917" t="s">
        <v>117</v>
      </c>
      <c r="G4" s="917" t="s">
        <v>13</v>
      </c>
      <c r="H4" s="917" t="s">
        <v>143</v>
      </c>
      <c r="I4" s="917" t="s">
        <v>144</v>
      </c>
      <c r="J4" s="917" t="s">
        <v>145</v>
      </c>
      <c r="K4" s="917" t="s">
        <v>146</v>
      </c>
      <c r="L4" s="918" t="s">
        <v>147</v>
      </c>
    </row>
    <row r="5" spans="1:13" x14ac:dyDescent="0.45">
      <c r="A5" s="919"/>
      <c r="B5" s="920"/>
      <c r="C5" s="921"/>
      <c r="D5" s="921"/>
      <c r="E5" s="921"/>
      <c r="F5" s="921"/>
      <c r="G5" s="920"/>
      <c r="H5" s="921"/>
      <c r="I5" s="921"/>
      <c r="J5" s="921"/>
      <c r="K5" s="921"/>
      <c r="L5" s="922"/>
    </row>
    <row r="6" spans="1:13" x14ac:dyDescent="0.45">
      <c r="A6" s="586" t="s">
        <v>122</v>
      </c>
      <c r="B6" s="43"/>
      <c r="C6" s="807">
        <f>('MKT2'!D35*1000)*(DOPN1!F44/DOPN1!$E$44)*CON!B62</f>
        <v>0.3270059099999999</v>
      </c>
      <c r="D6" s="807">
        <f>('MKT2'!E35*1000)*(DOPN1!H44/DOPN1!$E$44)*CON!$C$62</f>
        <v>1.5904378350000001</v>
      </c>
      <c r="E6" s="807">
        <f>('MKT2'!F35*1000)*(DOPN1!J44/DOPN1!$E$44)*CON!$D$62</f>
        <v>4.7989871233290007</v>
      </c>
      <c r="F6" s="807">
        <f>('MKT2'!G35*1000)*(DOPN1!L44/DOPN1!$E$44)*CON!E62</f>
        <v>16.752208951081798</v>
      </c>
      <c r="G6" s="807">
        <f>('MKT2'!H35*1000)*(DOPN1!N44/DOPN1!$E$44)*CON!$F$62</f>
        <v>47.345020101856292</v>
      </c>
      <c r="H6" s="807">
        <f>('MKT2'!I35*1000)*(DOPN1!P44/DOPN1!$E$44)*CON!$G$62</f>
        <v>69.29674324932931</v>
      </c>
      <c r="I6" s="807">
        <f>('MKT2'!J35*1000)*(DOPN1!R44/DOPN1!$E$44)*CON!$H$62</f>
        <v>97.123430058697537</v>
      </c>
      <c r="J6" s="807">
        <f>('MKT2'!K35*1000)*(DOPN1!T44/DOPN1!$E$44)*CON!$I$62</f>
        <v>118.76808018606434</v>
      </c>
      <c r="K6" s="807">
        <f>('MKT2'!L35*1000)*(DOPN1!V44/DOPN1!$E$44)*CON!$J$62</f>
        <v>142.96707652397501</v>
      </c>
      <c r="L6" s="808">
        <f>('MKT2'!M35*1000)*(DOPN1!X44/DOPN1!$E$44)*CON!$K$62</f>
        <v>169.9719687562814</v>
      </c>
    </row>
    <row r="7" spans="1:13" x14ac:dyDescent="0.45">
      <c r="A7" s="586" t="s">
        <v>343</v>
      </c>
      <c r="B7" s="122">
        <v>15</v>
      </c>
      <c r="C7" s="807">
        <f>C6/$B$7</f>
        <v>2.1800393999999994E-2</v>
      </c>
      <c r="D7" s="807">
        <f t="shared" ref="D7:L7" si="0">D6/$B$7</f>
        <v>0.10602918900000001</v>
      </c>
      <c r="E7" s="807">
        <f t="shared" si="0"/>
        <v>0.31993247488860005</v>
      </c>
      <c r="F7" s="807">
        <f t="shared" si="0"/>
        <v>1.1168139300721198</v>
      </c>
      <c r="G7" s="807">
        <f t="shared" si="0"/>
        <v>3.1563346734570863</v>
      </c>
      <c r="H7" s="807">
        <f t="shared" si="0"/>
        <v>4.6197828832886207</v>
      </c>
      <c r="I7" s="807">
        <f t="shared" si="0"/>
        <v>6.4748953372465028</v>
      </c>
      <c r="J7" s="807">
        <f t="shared" si="0"/>
        <v>7.9178720124042892</v>
      </c>
      <c r="K7" s="807">
        <f t="shared" si="0"/>
        <v>9.5311384349316679</v>
      </c>
      <c r="L7" s="808">
        <f t="shared" si="0"/>
        <v>11.331464583752092</v>
      </c>
    </row>
    <row r="8" spans="1:13" x14ac:dyDescent="0.45">
      <c r="A8" s="586" t="s">
        <v>357</v>
      </c>
      <c r="B8" s="509">
        <f>DOPN1!B8</f>
        <v>325</v>
      </c>
      <c r="C8" s="807"/>
      <c r="D8" s="807"/>
      <c r="E8" s="807"/>
      <c r="F8" s="807"/>
      <c r="G8" s="807"/>
      <c r="H8" s="807"/>
      <c r="I8" s="807"/>
      <c r="J8" s="807"/>
      <c r="K8" s="807"/>
      <c r="L8" s="808"/>
    </row>
    <row r="9" spans="1:13" x14ac:dyDescent="0.45">
      <c r="A9" s="586" t="s">
        <v>344</v>
      </c>
      <c r="B9" s="122">
        <v>4</v>
      </c>
      <c r="C9" s="296">
        <f>C7*1000000/$B$8/4</f>
        <v>16.769533846153841</v>
      </c>
      <c r="D9" s="296">
        <f t="shared" ref="D9:L9" si="1">D7*1000000/$B$8/4</f>
        <v>81.560914615384632</v>
      </c>
      <c r="E9" s="296">
        <f t="shared" si="1"/>
        <v>246.1019037604616</v>
      </c>
      <c r="F9" s="296">
        <f t="shared" si="1"/>
        <v>859.08763851701531</v>
      </c>
      <c r="G9" s="296">
        <f t="shared" si="1"/>
        <v>2427.9497488131433</v>
      </c>
      <c r="H9" s="296">
        <f t="shared" si="1"/>
        <v>3553.6791409912471</v>
      </c>
      <c r="I9" s="296">
        <f t="shared" si="1"/>
        <v>4980.6887209588485</v>
      </c>
      <c r="J9" s="296">
        <f t="shared" si="1"/>
        <v>6090.67077877253</v>
      </c>
      <c r="K9" s="296">
        <f t="shared" si="1"/>
        <v>7331.6449499474365</v>
      </c>
      <c r="L9" s="307">
        <f t="shared" si="1"/>
        <v>8716.5112182708399</v>
      </c>
    </row>
    <row r="10" spans="1:13" x14ac:dyDescent="0.45">
      <c r="A10" s="586" t="s">
        <v>356</v>
      </c>
      <c r="B10" s="336">
        <f>B7*B9</f>
        <v>60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307"/>
    </row>
    <row r="11" spans="1:13" x14ac:dyDescent="0.45">
      <c r="A11" s="586" t="s">
        <v>345</v>
      </c>
      <c r="B11" s="909">
        <f>B10*B17</f>
        <v>45</v>
      </c>
      <c r="C11" s="296"/>
      <c r="D11" s="296"/>
      <c r="E11" s="296"/>
      <c r="F11" s="296"/>
      <c r="G11" s="296"/>
      <c r="H11" s="296"/>
      <c r="I11" s="296"/>
      <c r="J11" s="296"/>
      <c r="K11" s="296"/>
      <c r="L11" s="307"/>
    </row>
    <row r="12" spans="1:13" x14ac:dyDescent="0.45">
      <c r="A12" s="586"/>
      <c r="B12" s="43"/>
      <c r="C12" s="296"/>
      <c r="D12" s="296"/>
      <c r="E12" s="296"/>
      <c r="F12" s="296"/>
      <c r="G12" s="296"/>
      <c r="H12" s="296"/>
      <c r="I12" s="296"/>
      <c r="J12" s="296"/>
      <c r="K12" s="296"/>
      <c r="L12" s="307"/>
    </row>
    <row r="13" spans="1:13" x14ac:dyDescent="0.45">
      <c r="A13" s="586"/>
      <c r="B13" s="910" t="s">
        <v>341</v>
      </c>
      <c r="C13" s="43"/>
      <c r="D13" s="43"/>
      <c r="E13" s="43"/>
      <c r="F13" s="43"/>
      <c r="G13" s="43"/>
      <c r="H13" s="43"/>
      <c r="I13" s="43"/>
      <c r="J13" s="43"/>
      <c r="K13" s="43"/>
      <c r="L13" s="587"/>
    </row>
    <row r="14" spans="1:13" x14ac:dyDescent="0.45">
      <c r="A14" s="586" t="s">
        <v>176</v>
      </c>
      <c r="B14" s="911">
        <v>2.5</v>
      </c>
      <c r="C14" s="171">
        <f t="shared" ref="C14:L14" si="2">C6*$B$14</f>
        <v>0.8175147749999998</v>
      </c>
      <c r="D14" s="171">
        <f t="shared" si="2"/>
        <v>3.9760945875000004</v>
      </c>
      <c r="E14" s="171">
        <f t="shared" si="2"/>
        <v>11.997467808322501</v>
      </c>
      <c r="F14" s="171">
        <f t="shared" si="2"/>
        <v>41.880522377704494</v>
      </c>
      <c r="G14" s="171">
        <f t="shared" si="2"/>
        <v>118.36255025464072</v>
      </c>
      <c r="H14" s="171">
        <f t="shared" si="2"/>
        <v>173.24185812332328</v>
      </c>
      <c r="I14" s="171">
        <f t="shared" si="2"/>
        <v>242.80857514674383</v>
      </c>
      <c r="J14" s="171">
        <f t="shared" si="2"/>
        <v>296.92020046516086</v>
      </c>
      <c r="K14" s="171">
        <f t="shared" si="2"/>
        <v>357.41769130993754</v>
      </c>
      <c r="L14" s="923">
        <f t="shared" si="2"/>
        <v>424.9299218907035</v>
      </c>
    </row>
    <row r="15" spans="1:13" x14ac:dyDescent="0.45">
      <c r="A15" s="586"/>
      <c r="B15" s="43"/>
      <c r="C15" s="171"/>
      <c r="D15" s="171"/>
      <c r="E15" s="171"/>
      <c r="F15" s="171"/>
      <c r="G15" s="171"/>
      <c r="H15" s="171"/>
      <c r="I15" s="171"/>
      <c r="J15" s="171"/>
      <c r="K15" s="171"/>
      <c r="L15" s="923"/>
    </row>
    <row r="16" spans="1:13" x14ac:dyDescent="0.45">
      <c r="A16" s="586" t="s">
        <v>118</v>
      </c>
      <c r="B16" s="43"/>
      <c r="C16" s="171"/>
      <c r="D16" s="171"/>
      <c r="E16" s="171"/>
      <c r="F16" s="171"/>
      <c r="G16" s="171"/>
      <c r="H16" s="171"/>
      <c r="I16" s="171"/>
      <c r="J16" s="171"/>
      <c r="K16" s="171"/>
      <c r="L16" s="923"/>
    </row>
    <row r="17" spans="1:12" x14ac:dyDescent="0.45">
      <c r="A17" s="586" t="s">
        <v>342</v>
      </c>
      <c r="B17" s="912">
        <v>0.75</v>
      </c>
      <c r="C17" s="913">
        <f t="shared" ref="C17:L21" si="3">C$6*$B17</f>
        <v>0.24525443249999992</v>
      </c>
      <c r="D17" s="913">
        <f t="shared" si="3"/>
        <v>1.19282837625</v>
      </c>
      <c r="E17" s="913">
        <f t="shared" si="3"/>
        <v>3.5992403424967505</v>
      </c>
      <c r="F17" s="913">
        <f t="shared" si="3"/>
        <v>12.564156713311348</v>
      </c>
      <c r="G17" s="913">
        <f t="shared" si="3"/>
        <v>35.508765076392223</v>
      </c>
      <c r="H17" s="913">
        <f t="shared" si="3"/>
        <v>51.972557436996979</v>
      </c>
      <c r="I17" s="913">
        <f t="shared" si="3"/>
        <v>72.842572544023156</v>
      </c>
      <c r="J17" s="913">
        <f t="shared" si="3"/>
        <v>89.076060139548247</v>
      </c>
      <c r="K17" s="913">
        <f t="shared" si="3"/>
        <v>107.22530739298125</v>
      </c>
      <c r="L17" s="924">
        <f t="shared" si="3"/>
        <v>127.47897656721105</v>
      </c>
    </row>
    <row r="18" spans="1:12" x14ac:dyDescent="0.45">
      <c r="A18" s="586" t="s">
        <v>119</v>
      </c>
      <c r="B18" s="912">
        <v>0.15</v>
      </c>
      <c r="C18" s="913">
        <f t="shared" si="3"/>
        <v>4.9050886499999981E-2</v>
      </c>
      <c r="D18" s="913">
        <f t="shared" si="3"/>
        <v>0.23856567525</v>
      </c>
      <c r="E18" s="913">
        <f t="shared" si="3"/>
        <v>0.71984806849935012</v>
      </c>
      <c r="F18" s="913">
        <f t="shared" si="3"/>
        <v>2.5128313426622695</v>
      </c>
      <c r="G18" s="913">
        <f t="shared" si="3"/>
        <v>7.1017530152784438</v>
      </c>
      <c r="H18" s="913">
        <f t="shared" si="3"/>
        <v>10.394511487399397</v>
      </c>
      <c r="I18" s="913">
        <f t="shared" si="3"/>
        <v>14.568514508804629</v>
      </c>
      <c r="J18" s="913">
        <f t="shared" si="3"/>
        <v>17.815212027909649</v>
      </c>
      <c r="K18" s="913">
        <f t="shared" si="3"/>
        <v>21.445061478596251</v>
      </c>
      <c r="L18" s="924">
        <f t="shared" si="3"/>
        <v>25.495795313442208</v>
      </c>
    </row>
    <row r="19" spans="1:12" x14ac:dyDescent="0.45">
      <c r="A19" s="586" t="s">
        <v>120</v>
      </c>
      <c r="B19" s="912">
        <v>0.15</v>
      </c>
      <c r="C19" s="913">
        <f t="shared" si="3"/>
        <v>4.9050886499999981E-2</v>
      </c>
      <c r="D19" s="913">
        <f t="shared" si="3"/>
        <v>0.23856567525</v>
      </c>
      <c r="E19" s="913">
        <f t="shared" si="3"/>
        <v>0.71984806849935012</v>
      </c>
      <c r="F19" s="913">
        <f t="shared" si="3"/>
        <v>2.5128313426622695</v>
      </c>
      <c r="G19" s="913">
        <f t="shared" si="3"/>
        <v>7.1017530152784438</v>
      </c>
      <c r="H19" s="913">
        <f t="shared" si="3"/>
        <v>10.394511487399397</v>
      </c>
      <c r="I19" s="913">
        <f t="shared" si="3"/>
        <v>14.568514508804629</v>
      </c>
      <c r="J19" s="913">
        <f t="shared" si="3"/>
        <v>17.815212027909649</v>
      </c>
      <c r="K19" s="913">
        <f t="shared" si="3"/>
        <v>21.445061478596251</v>
      </c>
      <c r="L19" s="924">
        <f t="shared" si="3"/>
        <v>25.495795313442208</v>
      </c>
    </row>
    <row r="20" spans="1:12" x14ac:dyDescent="0.45">
      <c r="A20" s="586" t="s">
        <v>121</v>
      </c>
      <c r="B20" s="912">
        <v>0.06</v>
      </c>
      <c r="C20" s="913">
        <f t="shared" si="3"/>
        <v>1.9620354599999994E-2</v>
      </c>
      <c r="D20" s="913">
        <f t="shared" si="3"/>
        <v>9.5426270100000002E-2</v>
      </c>
      <c r="E20" s="913">
        <f t="shared" si="3"/>
        <v>0.28793922739974004</v>
      </c>
      <c r="F20" s="913">
        <f t="shared" si="3"/>
        <v>1.0051325370649078</v>
      </c>
      <c r="G20" s="913">
        <f t="shared" si="3"/>
        <v>2.8407012061113774</v>
      </c>
      <c r="H20" s="913">
        <f t="shared" si="3"/>
        <v>4.1578045949597584</v>
      </c>
      <c r="I20" s="913">
        <f t="shared" si="3"/>
        <v>5.8274058035218523</v>
      </c>
      <c r="J20" s="913">
        <f t="shared" si="3"/>
        <v>7.1260848111638602</v>
      </c>
      <c r="K20" s="913">
        <f t="shared" si="3"/>
        <v>8.5780245914385009</v>
      </c>
      <c r="L20" s="924">
        <f t="shared" si="3"/>
        <v>10.198318125376884</v>
      </c>
    </row>
    <row r="21" spans="1:12" x14ac:dyDescent="0.45">
      <c r="A21" s="586" t="s">
        <v>129</v>
      </c>
      <c r="B21" s="912">
        <v>0.3</v>
      </c>
      <c r="C21" s="913">
        <f t="shared" si="3"/>
        <v>9.8101772999999962E-2</v>
      </c>
      <c r="D21" s="913">
        <f t="shared" si="3"/>
        <v>0.4771313505</v>
      </c>
      <c r="E21" s="913">
        <f t="shared" si="3"/>
        <v>1.4396961369987002</v>
      </c>
      <c r="F21" s="913">
        <f t="shared" si="3"/>
        <v>5.025662685324539</v>
      </c>
      <c r="G21" s="913">
        <f t="shared" si="3"/>
        <v>14.203506030556888</v>
      </c>
      <c r="H21" s="913">
        <f t="shared" si="3"/>
        <v>20.789022974798794</v>
      </c>
      <c r="I21" s="913">
        <f t="shared" si="3"/>
        <v>29.137029017609258</v>
      </c>
      <c r="J21" s="913">
        <f t="shared" si="3"/>
        <v>35.630424055819297</v>
      </c>
      <c r="K21" s="913">
        <f t="shared" si="3"/>
        <v>42.890122957192503</v>
      </c>
      <c r="L21" s="924">
        <f t="shared" si="3"/>
        <v>50.991590626884417</v>
      </c>
    </row>
    <row r="22" spans="1:12" x14ac:dyDescent="0.45">
      <c r="A22" s="586" t="s">
        <v>239</v>
      </c>
      <c r="B22" s="914">
        <f>SUM(B17:B21)</f>
        <v>1.4100000000000001</v>
      </c>
      <c r="C22" s="913">
        <f>C$6*$B22</f>
        <v>0.4610783330999999</v>
      </c>
      <c r="D22" s="913">
        <f t="shared" ref="D22:L22" si="4">D$6*$B22</f>
        <v>2.2425173473500006</v>
      </c>
      <c r="E22" s="913">
        <f t="shared" si="4"/>
        <v>6.7665718438938915</v>
      </c>
      <c r="F22" s="913">
        <f t="shared" si="4"/>
        <v>23.620614621025336</v>
      </c>
      <c r="G22" s="913">
        <f t="shared" si="4"/>
        <v>66.756478343617374</v>
      </c>
      <c r="H22" s="913">
        <f t="shared" si="4"/>
        <v>97.70840798155433</v>
      </c>
      <c r="I22" s="913">
        <f t="shared" si="4"/>
        <v>136.94403638276353</v>
      </c>
      <c r="J22" s="913">
        <f t="shared" si="4"/>
        <v>167.46299306235073</v>
      </c>
      <c r="K22" s="913">
        <f t="shared" si="4"/>
        <v>201.58357789880478</v>
      </c>
      <c r="L22" s="924">
        <f t="shared" si="4"/>
        <v>239.6604759463568</v>
      </c>
    </row>
    <row r="23" spans="1:12" x14ac:dyDescent="0.45">
      <c r="A23" s="586"/>
      <c r="B23" s="43"/>
      <c r="C23" s="913"/>
      <c r="D23" s="913"/>
      <c r="E23" s="913"/>
      <c r="F23" s="913"/>
      <c r="G23" s="913"/>
      <c r="H23" s="913"/>
      <c r="I23" s="913"/>
      <c r="J23" s="913"/>
      <c r="K23" s="913"/>
      <c r="L23" s="924"/>
    </row>
    <row r="24" spans="1:12" x14ac:dyDescent="0.45">
      <c r="A24" s="586" t="s">
        <v>238</v>
      </c>
      <c r="B24" s="909">
        <f t="shared" ref="B24:L24" si="5">B14-B22</f>
        <v>1.0899999999999999</v>
      </c>
      <c r="C24" s="913">
        <f t="shared" si="5"/>
        <v>0.3564364418999999</v>
      </c>
      <c r="D24" s="913">
        <f t="shared" si="5"/>
        <v>1.7335772401499998</v>
      </c>
      <c r="E24" s="913">
        <f t="shared" si="5"/>
        <v>5.2308959644286093</v>
      </c>
      <c r="F24" s="913">
        <f t="shared" si="5"/>
        <v>18.259907756679159</v>
      </c>
      <c r="G24" s="913">
        <f t="shared" si="5"/>
        <v>51.606071911023349</v>
      </c>
      <c r="H24" s="913">
        <f t="shared" si="5"/>
        <v>75.533450141768952</v>
      </c>
      <c r="I24" s="913">
        <f t="shared" si="5"/>
        <v>105.86453876398031</v>
      </c>
      <c r="J24" s="913">
        <f t="shared" si="5"/>
        <v>129.45720740281013</v>
      </c>
      <c r="K24" s="913">
        <f t="shared" si="5"/>
        <v>155.83411341113276</v>
      </c>
      <c r="L24" s="924">
        <f t="shared" si="5"/>
        <v>185.2694459443467</v>
      </c>
    </row>
    <row r="25" spans="1:12" x14ac:dyDescent="0.45">
      <c r="A25" s="586"/>
      <c r="B25" s="43"/>
      <c r="C25" s="913"/>
      <c r="D25" s="913"/>
      <c r="E25" s="913"/>
      <c r="F25" s="913"/>
      <c r="G25" s="913"/>
      <c r="H25" s="913"/>
      <c r="I25" s="913"/>
      <c r="J25" s="913"/>
      <c r="K25" s="913"/>
      <c r="L25" s="924"/>
    </row>
    <row r="26" spans="1:12" x14ac:dyDescent="0.45">
      <c r="A26" s="586" t="s">
        <v>16</v>
      </c>
      <c r="B26" s="7">
        <v>0.2</v>
      </c>
      <c r="C26" s="913">
        <f t="shared" ref="C26:F26" si="6">C24*$B$26</f>
        <v>7.128728837999998E-2</v>
      </c>
      <c r="D26" s="913">
        <f t="shared" si="6"/>
        <v>0.34671544802999998</v>
      </c>
      <c r="E26" s="913">
        <f t="shared" si="6"/>
        <v>1.0461791928857218</v>
      </c>
      <c r="F26" s="913">
        <f t="shared" si="6"/>
        <v>3.6519815513358318</v>
      </c>
      <c r="G26" s="913">
        <f>G24*$B$26</f>
        <v>10.321214382204671</v>
      </c>
      <c r="H26" s="913">
        <f t="shared" ref="H26:L26" si="7">H24*$B$26</f>
        <v>15.106690028353791</v>
      </c>
      <c r="I26" s="913">
        <f t="shared" si="7"/>
        <v>21.172907752796064</v>
      </c>
      <c r="J26" s="913">
        <f t="shared" si="7"/>
        <v>25.891441480562026</v>
      </c>
      <c r="K26" s="913">
        <f t="shared" si="7"/>
        <v>31.166822682226552</v>
      </c>
      <c r="L26" s="924">
        <f t="shared" si="7"/>
        <v>37.053889188869341</v>
      </c>
    </row>
    <row r="27" spans="1:12" x14ac:dyDescent="0.45">
      <c r="A27" s="586"/>
      <c r="B27" s="43"/>
      <c r="C27" s="913"/>
      <c r="D27" s="913"/>
      <c r="E27" s="913"/>
      <c r="F27" s="913"/>
      <c r="G27" s="913"/>
      <c r="H27" s="913"/>
      <c r="I27" s="913"/>
      <c r="J27" s="913"/>
      <c r="K27" s="913"/>
      <c r="L27" s="924"/>
    </row>
    <row r="28" spans="1:12" x14ac:dyDescent="0.45">
      <c r="A28" s="586" t="s">
        <v>123</v>
      </c>
      <c r="B28" s="593"/>
      <c r="C28" s="913">
        <f t="shared" ref="C28:F28" si="8">C24-C26</f>
        <v>0.28514915351999992</v>
      </c>
      <c r="D28" s="913">
        <f t="shared" si="8"/>
        <v>1.3868617921199999</v>
      </c>
      <c r="E28" s="913">
        <f t="shared" si="8"/>
        <v>4.1847167715428872</v>
      </c>
      <c r="F28" s="913">
        <f t="shared" si="8"/>
        <v>14.607926205343327</v>
      </c>
      <c r="G28" s="913">
        <f>G24-G26</f>
        <v>41.284857528818677</v>
      </c>
      <c r="H28" s="913">
        <f t="shared" ref="H28:L28" si="9">H24-H26</f>
        <v>60.426760113415163</v>
      </c>
      <c r="I28" s="913">
        <f t="shared" si="9"/>
        <v>84.691631011184242</v>
      </c>
      <c r="J28" s="913">
        <f t="shared" si="9"/>
        <v>103.5657659222481</v>
      </c>
      <c r="K28" s="913">
        <f t="shared" si="9"/>
        <v>124.66729072890621</v>
      </c>
      <c r="L28" s="924">
        <f t="shared" si="9"/>
        <v>148.21555675547737</v>
      </c>
    </row>
    <row r="29" spans="1:12" x14ac:dyDescent="0.45">
      <c r="A29" s="586"/>
      <c r="B29" s="43"/>
      <c r="C29" s="171"/>
      <c r="D29" s="171"/>
      <c r="E29" s="171"/>
      <c r="F29" s="171"/>
      <c r="G29" s="171"/>
      <c r="H29" s="171"/>
      <c r="I29" s="171"/>
      <c r="J29" s="171"/>
      <c r="K29" s="171"/>
      <c r="L29" s="923"/>
    </row>
    <row r="30" spans="1:12" ht="14.65" thickBot="1" x14ac:dyDescent="0.5">
      <c r="A30" s="793" t="s">
        <v>289</v>
      </c>
      <c r="B30" s="925">
        <v>10</v>
      </c>
      <c r="C30" s="926"/>
      <c r="D30" s="926"/>
      <c r="E30" s="926"/>
      <c r="F30" s="926"/>
      <c r="G30" s="926">
        <f>G24*$B$30</f>
        <v>516.06071911023355</v>
      </c>
      <c r="H30" s="926"/>
      <c r="I30" s="926"/>
      <c r="J30" s="926"/>
      <c r="K30" s="926"/>
      <c r="L30" s="927">
        <f>L24*$B$30</f>
        <v>1852.6944594434669</v>
      </c>
    </row>
    <row r="49" spans="5:5" x14ac:dyDescent="0.45">
      <c r="E49" s="771"/>
    </row>
  </sheetData>
  <sheetProtection algorithmName="SHA-512" hashValue="kA5CdPzabeVqN1gjSn5O4lbEcMHzyehXhZKp6Sj/k370PMoV5FEdYGIKRKwJe5xkRocBQpAehK5ZY69EhPSAzA==" saltValue="RnmpSHWHhxQ0QA3lFwcLM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96"/>
  <sheetViews>
    <sheetView zoomScale="75" zoomScaleNormal="75" workbookViewId="0">
      <selection activeCell="D16" sqref="D16"/>
    </sheetView>
  </sheetViews>
  <sheetFormatPr defaultRowHeight="14.25" x14ac:dyDescent="0.45"/>
  <cols>
    <col min="1" max="1" width="43.9296875" style="120" customWidth="1"/>
    <col min="2" max="2" width="14.59765625" style="120" customWidth="1"/>
    <col min="3" max="3" width="14.3984375" style="120" customWidth="1"/>
    <col min="4" max="5" width="12.33203125" style="120" customWidth="1"/>
    <col min="6" max="6" width="13.6640625" style="120" customWidth="1"/>
    <col min="7" max="7" width="10.73046875" style="120" customWidth="1"/>
    <col min="8" max="8" width="11.73046875" style="120" customWidth="1"/>
    <col min="9" max="9" width="9.59765625" style="120" bestFit="1" customWidth="1"/>
    <col min="10" max="10" width="12.19921875" style="120" customWidth="1"/>
    <col min="11" max="13" width="9.06640625" style="120"/>
    <col min="14" max="14" width="10.59765625" style="120" bestFit="1" customWidth="1"/>
    <col min="15" max="15" width="10.1328125" style="120" bestFit="1" customWidth="1"/>
    <col min="16" max="16" width="14" style="779" bestFit="1" customWidth="1"/>
    <col min="17" max="17" width="15.1328125" style="120" customWidth="1"/>
    <col min="18" max="16384" width="9.06640625" style="120"/>
  </cols>
  <sheetData>
    <row r="1" spans="1:15" ht="20.65" x14ac:dyDescent="0.6">
      <c r="A1" s="599" t="s">
        <v>425</v>
      </c>
      <c r="B1" s="601"/>
      <c r="C1" s="601"/>
      <c r="D1" s="601"/>
      <c r="E1" s="601"/>
      <c r="F1" s="698" t="str">
        <f>MKT!C1</f>
        <v>UK</v>
      </c>
    </row>
    <row r="2" spans="1:15" ht="18" x14ac:dyDescent="0.55000000000000004">
      <c r="A2" s="601"/>
      <c r="B2" s="601"/>
      <c r="C2" s="601"/>
      <c r="D2" s="601"/>
      <c r="E2" s="601"/>
      <c r="F2" s="812"/>
    </row>
    <row r="3" spans="1:15" ht="18.399999999999999" thickBot="1" x14ac:dyDescent="0.6">
      <c r="A3" s="601"/>
      <c r="B3" s="601"/>
      <c r="C3" s="601"/>
      <c r="D3" s="601"/>
      <c r="E3" s="601"/>
      <c r="F3" s="812"/>
    </row>
    <row r="4" spans="1:15" x14ac:dyDescent="0.45">
      <c r="A4" s="690" t="s">
        <v>842</v>
      </c>
      <c r="B4" s="813" t="s">
        <v>179</v>
      </c>
      <c r="C4" s="813" t="s">
        <v>180</v>
      </c>
      <c r="D4" s="813" t="s">
        <v>181</v>
      </c>
      <c r="E4" s="814" t="s">
        <v>386</v>
      </c>
    </row>
    <row r="5" spans="1:15" x14ac:dyDescent="0.45">
      <c r="A5" s="809" t="s">
        <v>840</v>
      </c>
      <c r="B5" s="43"/>
      <c r="C5" s="43"/>
      <c r="D5" s="43"/>
      <c r="E5" s="587"/>
    </row>
    <row r="6" spans="1:15" x14ac:dyDescent="0.45">
      <c r="A6" s="586" t="s">
        <v>385</v>
      </c>
      <c r="B6" s="593"/>
      <c r="C6" s="593"/>
      <c r="D6" s="593"/>
      <c r="E6" s="811">
        <v>117</v>
      </c>
      <c r="O6" s="721"/>
    </row>
    <row r="7" spans="1:15" x14ac:dyDescent="0.45">
      <c r="A7" s="586" t="s">
        <v>387</v>
      </c>
      <c r="B7" s="593"/>
      <c r="C7" s="593"/>
      <c r="D7" s="593"/>
      <c r="E7" s="811">
        <v>6.72</v>
      </c>
      <c r="O7" s="721"/>
    </row>
    <row r="8" spans="1:15" x14ac:dyDescent="0.45">
      <c r="A8" s="586"/>
      <c r="B8" s="593"/>
      <c r="C8" s="593"/>
      <c r="D8" s="593"/>
      <c r="E8" s="810"/>
      <c r="O8" s="721"/>
    </row>
    <row r="9" spans="1:15" x14ac:dyDescent="0.45">
      <c r="A9" s="809" t="s">
        <v>841</v>
      </c>
      <c r="B9" s="593"/>
      <c r="C9" s="593"/>
      <c r="D9" s="593"/>
      <c r="E9" s="810"/>
      <c r="O9" s="721"/>
    </row>
    <row r="10" spans="1:15" x14ac:dyDescent="0.45">
      <c r="A10" s="586" t="s">
        <v>388</v>
      </c>
      <c r="B10" s="593"/>
      <c r="C10" s="593"/>
      <c r="D10" s="593"/>
      <c r="E10" s="774">
        <v>121.5</v>
      </c>
      <c r="O10" s="721"/>
    </row>
    <row r="11" spans="1:15" x14ac:dyDescent="0.45">
      <c r="A11" s="586" t="s">
        <v>389</v>
      </c>
      <c r="B11" s="43"/>
      <c r="C11" s="43"/>
      <c r="D11" s="43"/>
      <c r="E11" s="775">
        <v>160</v>
      </c>
    </row>
    <row r="12" spans="1:15" x14ac:dyDescent="0.45">
      <c r="A12" s="586" t="s">
        <v>390</v>
      </c>
      <c r="B12" s="593"/>
      <c r="C12" s="593"/>
      <c r="D12" s="593"/>
      <c r="E12" s="776">
        <v>10</v>
      </c>
      <c r="O12" s="721"/>
    </row>
    <row r="13" spans="1:15" x14ac:dyDescent="0.45">
      <c r="A13" s="586"/>
      <c r="B13" s="593"/>
      <c r="C13" s="593"/>
      <c r="D13" s="593"/>
      <c r="E13" s="748"/>
      <c r="O13" s="721"/>
    </row>
    <row r="14" spans="1:15" x14ac:dyDescent="0.45">
      <c r="A14" s="809" t="s">
        <v>839</v>
      </c>
      <c r="B14" s="593"/>
      <c r="C14" s="593"/>
      <c r="D14" s="593"/>
      <c r="E14" s="810"/>
      <c r="O14" s="721"/>
    </row>
    <row r="15" spans="1:15" x14ac:dyDescent="0.45">
      <c r="A15" s="586" t="s">
        <v>447</v>
      </c>
      <c r="B15" s="777">
        <v>4</v>
      </c>
      <c r="C15" s="777">
        <v>8</v>
      </c>
      <c r="D15" s="777">
        <v>40</v>
      </c>
      <c r="E15" s="587">
        <f>(B24*B15)+(C24*C15)+(D24*D15)</f>
        <v>11.12</v>
      </c>
    </row>
    <row r="16" spans="1:15" x14ac:dyDescent="0.45">
      <c r="A16" s="586" t="s">
        <v>442</v>
      </c>
      <c r="B16" s="7">
        <v>0.25</v>
      </c>
      <c r="C16" s="7">
        <v>0.45</v>
      </c>
      <c r="D16" s="7">
        <v>1</v>
      </c>
      <c r="E16" s="806">
        <f>(B24*B16)+(C24*C16)+(D24*D16)</f>
        <v>0.438</v>
      </c>
    </row>
    <row r="17" spans="1:24" x14ac:dyDescent="0.45">
      <c r="A17" s="586"/>
      <c r="B17" s="338"/>
      <c r="C17" s="338"/>
      <c r="D17" s="338"/>
      <c r="E17" s="806"/>
    </row>
    <row r="18" spans="1:24" x14ac:dyDescent="0.45">
      <c r="A18" s="586" t="s">
        <v>448</v>
      </c>
      <c r="B18" s="807">
        <f>DOPN1!B18/1000</f>
        <v>0.25</v>
      </c>
      <c r="C18" s="807">
        <f>DOPN1!C18/1000</f>
        <v>0.4</v>
      </c>
      <c r="D18" s="807">
        <f>DOPN1!D18/1000</f>
        <v>10</v>
      </c>
      <c r="E18" s="807">
        <f>(B24*B18)+(C24*C18)+(D24*D18)</f>
        <v>1.8609999999999998</v>
      </c>
    </row>
    <row r="19" spans="1:24" x14ac:dyDescent="0.45">
      <c r="A19" s="586" t="s">
        <v>449</v>
      </c>
      <c r="B19" s="807">
        <f>B15-B18</f>
        <v>3.75</v>
      </c>
      <c r="C19" s="807">
        <f t="shared" ref="C19:D19" si="0">C15-C18</f>
        <v>7.6</v>
      </c>
      <c r="D19" s="807">
        <f t="shared" si="0"/>
        <v>30</v>
      </c>
      <c r="E19" s="808">
        <f>(B24*B19)+(C24*C19)+(D24*D19)</f>
        <v>9.2589999999999986</v>
      </c>
    </row>
    <row r="20" spans="1:24" x14ac:dyDescent="0.45">
      <c r="A20" s="586" t="s">
        <v>443</v>
      </c>
      <c r="B20" s="338">
        <f>CON!C18</f>
        <v>0.05</v>
      </c>
      <c r="C20" s="338">
        <f>CON!D18</f>
        <v>0.2</v>
      </c>
      <c r="D20" s="338">
        <f>CON!E18</f>
        <v>1</v>
      </c>
      <c r="E20" s="806">
        <f>(B24*B20)+(C24*C20)+(D24*D20)</f>
        <v>0.253</v>
      </c>
      <c r="T20" s="369"/>
      <c r="U20" s="369"/>
    </row>
    <row r="21" spans="1:24" x14ac:dyDescent="0.45">
      <c r="A21" s="586"/>
      <c r="B21" s="338"/>
      <c r="C21" s="338"/>
      <c r="D21" s="338"/>
      <c r="E21" s="806"/>
      <c r="T21" s="369"/>
      <c r="U21" s="369"/>
    </row>
    <row r="22" spans="1:24" x14ac:dyDescent="0.45">
      <c r="A22" s="586" t="s">
        <v>838</v>
      </c>
      <c r="B22" s="662">
        <v>0.38</v>
      </c>
      <c r="C22" s="662">
        <v>0.38</v>
      </c>
      <c r="D22" s="662">
        <v>0.38</v>
      </c>
      <c r="E22" s="851"/>
      <c r="O22" s="721"/>
    </row>
    <row r="23" spans="1:24" x14ac:dyDescent="0.45">
      <c r="A23" s="586"/>
      <c r="B23" s="778"/>
      <c r="C23" s="778"/>
      <c r="D23" s="778"/>
      <c r="E23" s="587"/>
      <c r="O23" s="721"/>
    </row>
    <row r="24" spans="1:24" x14ac:dyDescent="0.45">
      <c r="A24" s="586" t="s">
        <v>394</v>
      </c>
      <c r="B24" s="593">
        <f>DOPN1!B15</f>
        <v>0.5</v>
      </c>
      <c r="C24" s="593">
        <f>DOPN1!C15</f>
        <v>0.34</v>
      </c>
      <c r="D24" s="593">
        <f>DOPN1!D15</f>
        <v>0.15999999999999998</v>
      </c>
      <c r="E24" s="587"/>
      <c r="O24" s="721"/>
    </row>
    <row r="25" spans="1:24" x14ac:dyDescent="0.45">
      <c r="A25" s="586" t="s">
        <v>450</v>
      </c>
      <c r="B25" s="296">
        <f>$B$24*E25</f>
        <v>1093.06732319152</v>
      </c>
      <c r="C25" s="296">
        <f>$C$24*E25</f>
        <v>743.28577977023372</v>
      </c>
      <c r="D25" s="296">
        <f>$D$24*E25</f>
        <v>349.78154342128636</v>
      </c>
      <c r="E25" s="307">
        <f>'MKT2'!M31*1000</f>
        <v>2186.13464638304</v>
      </c>
    </row>
    <row r="26" spans="1:24" x14ac:dyDescent="0.45">
      <c r="A26" s="586" t="s">
        <v>451</v>
      </c>
      <c r="B26" s="296">
        <f>$B$24*E26</f>
        <v>218.61346463830401</v>
      </c>
      <c r="C26" s="296">
        <f>$C$24*E26</f>
        <v>148.65715595404674</v>
      </c>
      <c r="D26" s="296">
        <f>$D$24*E26</f>
        <v>69.956308684257266</v>
      </c>
      <c r="E26" s="307">
        <f>'MKT2'!M32*1000</f>
        <v>437.22692927660802</v>
      </c>
      <c r="T26" s="369"/>
      <c r="U26" s="369"/>
    </row>
    <row r="27" spans="1:24" x14ac:dyDescent="0.45">
      <c r="A27" s="586" t="s">
        <v>452</v>
      </c>
      <c r="B27" s="296">
        <f>$B$24*E27</f>
        <v>65.584039391491189</v>
      </c>
      <c r="C27" s="296">
        <f>$C$24*E27</f>
        <v>44.597146786214012</v>
      </c>
      <c r="D27" s="296">
        <f>$D$24*E27</f>
        <v>20.986892605277177</v>
      </c>
      <c r="E27" s="307">
        <f>'MKT2'!M33*1000</f>
        <v>131.16807878298238</v>
      </c>
      <c r="T27" s="369"/>
      <c r="U27" s="369"/>
    </row>
    <row r="28" spans="1:24" ht="14.65" thickBot="1" x14ac:dyDescent="0.5">
      <c r="A28" s="585" t="s">
        <v>453</v>
      </c>
      <c r="B28" s="780">
        <f>$B$24*E28</f>
        <v>17.256564800125879</v>
      </c>
      <c r="C28" s="780">
        <f>$C$24*E28</f>
        <v>11.734464064085598</v>
      </c>
      <c r="D28" s="780">
        <f>$D$24*E28</f>
        <v>5.5221007360402803</v>
      </c>
      <c r="E28" s="781">
        <f>'MKT2'!M34*1000</f>
        <v>34.513129600251759</v>
      </c>
      <c r="T28" s="369"/>
      <c r="U28" s="369"/>
      <c r="V28" s="369"/>
      <c r="W28" s="369"/>
      <c r="X28" s="369"/>
    </row>
    <row r="32" spans="1:24" ht="14.65" thickBot="1" x14ac:dyDescent="0.5"/>
    <row r="33" spans="1:16" s="784" customFormat="1" x14ac:dyDescent="0.45">
      <c r="A33" s="690" t="s">
        <v>454</v>
      </c>
      <c r="B33" s="696" t="s">
        <v>437</v>
      </c>
      <c r="C33" s="696" t="s">
        <v>438</v>
      </c>
      <c r="D33" s="782" t="s">
        <v>378</v>
      </c>
      <c r="E33" s="782" t="s">
        <v>379</v>
      </c>
      <c r="F33" s="782" t="s">
        <v>380</v>
      </c>
      <c r="G33" s="782" t="s">
        <v>436</v>
      </c>
      <c r="H33" s="782" t="s">
        <v>882</v>
      </c>
      <c r="I33" s="782" t="s">
        <v>372</v>
      </c>
      <c r="J33" s="783" t="s">
        <v>377</v>
      </c>
      <c r="K33" s="120"/>
      <c r="L33" s="120"/>
      <c r="P33" s="785"/>
    </row>
    <row r="34" spans="1:16" x14ac:dyDescent="0.45">
      <c r="A34" s="586"/>
      <c r="B34" s="43"/>
      <c r="C34" s="43"/>
      <c r="D34" s="43"/>
      <c r="E34" s="43"/>
      <c r="F34" s="43"/>
      <c r="G34" s="43"/>
      <c r="H34" s="43"/>
      <c r="I34" s="43"/>
      <c r="J34" s="587"/>
    </row>
    <row r="35" spans="1:16" x14ac:dyDescent="0.45">
      <c r="A35" s="586" t="s">
        <v>383</v>
      </c>
      <c r="B35" s="43"/>
      <c r="C35" s="43"/>
      <c r="D35" s="43"/>
      <c r="E35" s="43"/>
      <c r="F35" s="43"/>
      <c r="G35" s="43"/>
      <c r="H35" s="43"/>
      <c r="I35" s="43"/>
      <c r="J35" s="587"/>
    </row>
    <row r="36" spans="1:16" x14ac:dyDescent="0.45">
      <c r="A36" s="586" t="s">
        <v>384</v>
      </c>
      <c r="B36" s="43"/>
      <c r="C36" s="296">
        <f>(B25*B20*B22)+(C25*C20*C22)+(D25*D20*D22)</f>
        <v>210.17498490326545</v>
      </c>
      <c r="D36" s="296">
        <f>C36</f>
        <v>210.17498490326545</v>
      </c>
      <c r="E36" s="50">
        <f>F36/D36</f>
        <v>0.25</v>
      </c>
      <c r="F36" s="296">
        <f>(B25*B20*B22*B18)+(C25*C20*C22*B18)+(D25*D20*D22*B18)</f>
        <v>52.543746225816363</v>
      </c>
      <c r="G36" s="336">
        <f>$E$10</f>
        <v>121.5</v>
      </c>
      <c r="H36" s="786">
        <f>F36*G36</f>
        <v>6384.0651664366878</v>
      </c>
      <c r="I36" s="747">
        <f>$E$12</f>
        <v>10</v>
      </c>
      <c r="J36" s="787">
        <f>I36*H36</f>
        <v>63840.65166436688</v>
      </c>
    </row>
    <row r="37" spans="1:16" x14ac:dyDescent="0.45">
      <c r="A37" s="788" t="s">
        <v>381</v>
      </c>
      <c r="B37" s="43"/>
      <c r="C37" s="43"/>
      <c r="D37" s="43"/>
      <c r="E37" s="43"/>
      <c r="F37" s="43"/>
      <c r="G37" s="43"/>
      <c r="H37" s="43"/>
      <c r="I37" s="747"/>
      <c r="J37" s="587"/>
    </row>
    <row r="38" spans="1:16" x14ac:dyDescent="0.45">
      <c r="A38" s="789" t="s">
        <v>833</v>
      </c>
      <c r="B38" s="790">
        <f>CARR2!F37</f>
        <v>115990.30293006561</v>
      </c>
      <c r="C38" s="790">
        <f>CARR2!K37</f>
        <v>95465.15499038744</v>
      </c>
      <c r="D38" s="791">
        <f>CARR2!F37-CARR2!K37</f>
        <v>20525.147939678165</v>
      </c>
      <c r="E38" s="792">
        <f>CARR1!B16</f>
        <v>70</v>
      </c>
      <c r="F38" s="786">
        <f>CARR1!B16*D38*DOPN1!B8/1000000</f>
        <v>466.94711562767827</v>
      </c>
      <c r="G38" s="300">
        <f>E11</f>
        <v>160</v>
      </c>
      <c r="H38" s="786">
        <f>F38*G38</f>
        <v>74711.53850042852</v>
      </c>
      <c r="I38" s="747">
        <f t="shared" ref="I38:I43" si="1">$E$12</f>
        <v>10</v>
      </c>
      <c r="J38" s="787">
        <f t="shared" ref="J38:J43" si="2">I38*H38</f>
        <v>747115.38500428526</v>
      </c>
    </row>
    <row r="39" spans="1:16" x14ac:dyDescent="0.45">
      <c r="A39" s="586" t="s">
        <v>382</v>
      </c>
      <c r="B39" s="580">
        <f>MKT!C23/3*E6</f>
        <v>2604.4407441000008</v>
      </c>
      <c r="C39" s="312">
        <f>B39*(1-ETAIL!E14)</f>
        <v>2578.3963366590006</v>
      </c>
      <c r="D39" s="296">
        <f>B39-C39</f>
        <v>26.044407441000203</v>
      </c>
      <c r="E39" s="336">
        <f>E7</f>
        <v>6.72</v>
      </c>
      <c r="F39" s="786">
        <f>D39*E39</f>
        <v>175.01841800352136</v>
      </c>
      <c r="G39" s="336">
        <f>$E$10</f>
        <v>121.5</v>
      </c>
      <c r="H39" s="786">
        <f>F39*G39</f>
        <v>21264.737787427846</v>
      </c>
      <c r="I39" s="747">
        <f t="shared" si="1"/>
        <v>10</v>
      </c>
      <c r="J39" s="787">
        <f t="shared" si="2"/>
        <v>212647.37787427846</v>
      </c>
    </row>
    <row r="40" spans="1:16" x14ac:dyDescent="0.45">
      <c r="A40" s="586" t="s">
        <v>391</v>
      </c>
      <c r="B40" s="296">
        <f>(B26*$B$16*$B$22)+(C26*$C$16*$C$22)+(D26*$D$16*$D$22)</f>
        <v>72.772050108798638</v>
      </c>
      <c r="C40" s="296">
        <f>(B26*$B$20*$B$22)+(C26*$C$20*$C$22)+(D26*$D$20*$D$22)</f>
        <v>42.034996980653091</v>
      </c>
      <c r="D40" s="296">
        <f>B40-C40</f>
        <v>30.737053128145547</v>
      </c>
      <c r="E40" s="171">
        <f>$E$19</f>
        <v>9.2589999999999986</v>
      </c>
      <c r="F40" s="296">
        <f>D40*E40</f>
        <v>284.59437491349956</v>
      </c>
      <c r="G40" s="336">
        <f t="shared" ref="G40:G42" si="3">$E$10</f>
        <v>121.5</v>
      </c>
      <c r="H40" s="786">
        <f>F40*G40</f>
        <v>34578.216551990197</v>
      </c>
      <c r="I40" s="747">
        <f t="shared" si="1"/>
        <v>10</v>
      </c>
      <c r="J40" s="787">
        <f t="shared" si="2"/>
        <v>345782.16551990196</v>
      </c>
    </row>
    <row r="41" spans="1:16" x14ac:dyDescent="0.45">
      <c r="A41" s="586" t="s">
        <v>392</v>
      </c>
      <c r="B41" s="296">
        <f t="shared" ref="B41:B42" si="4">(B27*$B$16*$B$22)+(C27*$C$16*$C$22)+(D27*$D$16*$D$22)</f>
        <v>21.831615032639586</v>
      </c>
      <c r="C41" s="296">
        <f t="shared" ref="C41:C42" si="5">(B27*$B$20*$B$22)+(C27*$C$20*$C$22)+(D27*$D$20*$D$22)</f>
        <v>12.610499094195927</v>
      </c>
      <c r="D41" s="296">
        <f t="shared" ref="D41:D42" si="6">B41-C41</f>
        <v>9.2211159384436598</v>
      </c>
      <c r="E41" s="171">
        <f t="shared" ref="E41:E42" si="7">$E$19</f>
        <v>9.2589999999999986</v>
      </c>
      <c r="F41" s="296">
        <f t="shared" ref="F41:F42" si="8">D41*E41</f>
        <v>85.378312474049835</v>
      </c>
      <c r="G41" s="336">
        <f t="shared" si="3"/>
        <v>121.5</v>
      </c>
      <c r="H41" s="786">
        <f>F41*G41</f>
        <v>10373.464965597055</v>
      </c>
      <c r="I41" s="747">
        <f t="shared" si="1"/>
        <v>10</v>
      </c>
      <c r="J41" s="787">
        <f t="shared" si="2"/>
        <v>103734.64965597056</v>
      </c>
    </row>
    <row r="42" spans="1:16" x14ac:dyDescent="0.45">
      <c r="A42" s="586" t="s">
        <v>393</v>
      </c>
      <c r="B42" s="296">
        <f t="shared" si="4"/>
        <v>5.7443652906659022</v>
      </c>
      <c r="C42" s="296">
        <f t="shared" si="5"/>
        <v>3.3180922797682038</v>
      </c>
      <c r="D42" s="296">
        <f t="shared" si="6"/>
        <v>2.4262730108976984</v>
      </c>
      <c r="E42" s="171">
        <f t="shared" si="7"/>
        <v>9.2589999999999986</v>
      </c>
      <c r="F42" s="296">
        <f t="shared" si="8"/>
        <v>22.464861807901787</v>
      </c>
      <c r="G42" s="336">
        <f t="shared" si="3"/>
        <v>121.5</v>
      </c>
      <c r="H42" s="786">
        <f>F42*G42</f>
        <v>2729.4807096600671</v>
      </c>
      <c r="I42" s="747">
        <f t="shared" si="1"/>
        <v>10</v>
      </c>
      <c r="J42" s="787">
        <f t="shared" si="2"/>
        <v>27294.807096600671</v>
      </c>
    </row>
    <row r="43" spans="1:16" ht="14.65" thickBot="1" x14ac:dyDescent="0.5">
      <c r="A43" s="793" t="s">
        <v>881</v>
      </c>
      <c r="B43" s="794"/>
      <c r="C43" s="794"/>
      <c r="D43" s="794"/>
      <c r="E43" s="794"/>
      <c r="F43" s="794"/>
      <c r="G43" s="794"/>
      <c r="H43" s="795">
        <f>H36-SUM(H38:H42)</f>
        <v>-137273.373348667</v>
      </c>
      <c r="I43" s="747">
        <f t="shared" si="1"/>
        <v>10</v>
      </c>
      <c r="J43" s="787">
        <f t="shared" si="2"/>
        <v>-1372733.7334866701</v>
      </c>
      <c r="K43" s="784"/>
      <c r="L43" s="784"/>
    </row>
    <row r="46" spans="1:16" ht="18" x14ac:dyDescent="0.55000000000000004">
      <c r="A46" s="796"/>
      <c r="B46" s="796"/>
      <c r="C46" s="796"/>
      <c r="D46" s="796"/>
      <c r="E46" s="796"/>
      <c r="F46" s="721"/>
      <c r="G46" s="721"/>
      <c r="H46" s="721"/>
      <c r="I46" s="721"/>
      <c r="J46" s="721"/>
      <c r="K46" s="721"/>
      <c r="L46" s="721"/>
      <c r="M46" s="721"/>
      <c r="N46" s="721"/>
      <c r="P46" s="797"/>
    </row>
    <row r="47" spans="1:16" ht="15.75" x14ac:dyDescent="0.5">
      <c r="A47" s="798" t="s">
        <v>834</v>
      </c>
      <c r="B47" s="798"/>
      <c r="C47" s="798"/>
      <c r="D47" s="798"/>
      <c r="E47" s="798"/>
      <c r="F47" s="721"/>
      <c r="G47" s="721"/>
      <c r="H47" s="721"/>
      <c r="I47" s="721"/>
      <c r="J47" s="721"/>
      <c r="K47" s="721"/>
      <c r="L47" s="721"/>
      <c r="M47" s="721"/>
      <c r="N47" s="721"/>
    </row>
    <row r="49" spans="1:23" ht="15.75" x14ac:dyDescent="0.45">
      <c r="A49" s="799" t="s">
        <v>835</v>
      </c>
      <c r="B49" s="799"/>
      <c r="C49" s="799"/>
      <c r="D49" s="799"/>
      <c r="E49" s="799"/>
      <c r="F49" s="800"/>
      <c r="G49" s="801"/>
      <c r="H49" s="800"/>
      <c r="I49" s="800"/>
      <c r="J49" s="800"/>
      <c r="K49" s="800"/>
      <c r="L49" s="800"/>
      <c r="M49" s="800"/>
      <c r="N49" s="800"/>
      <c r="P49" s="802"/>
    </row>
    <row r="50" spans="1:23" ht="15.75" x14ac:dyDescent="0.5">
      <c r="A50" s="803" t="s">
        <v>373</v>
      </c>
      <c r="B50" s="803"/>
      <c r="C50" s="803"/>
      <c r="D50" s="803"/>
      <c r="E50" s="803"/>
      <c r="F50" s="369"/>
      <c r="G50" s="369"/>
      <c r="H50" s="369"/>
      <c r="I50" s="369"/>
      <c r="J50" s="369"/>
      <c r="K50" s="369"/>
      <c r="L50" s="369"/>
      <c r="M50" s="369"/>
      <c r="N50" s="369"/>
    </row>
    <row r="51" spans="1:23" ht="15.75" x14ac:dyDescent="0.5">
      <c r="A51" s="803" t="s">
        <v>395</v>
      </c>
      <c r="B51" s="803"/>
      <c r="C51" s="803"/>
      <c r="D51" s="803"/>
      <c r="E51" s="803"/>
    </row>
    <row r="52" spans="1:23" ht="15.75" x14ac:dyDescent="0.5">
      <c r="A52" s="804" t="s">
        <v>836</v>
      </c>
      <c r="B52" s="804"/>
      <c r="C52" s="804"/>
      <c r="D52" s="804"/>
      <c r="E52" s="804"/>
    </row>
    <row r="53" spans="1:23" ht="15.75" x14ac:dyDescent="0.5">
      <c r="A53" s="804" t="s">
        <v>837</v>
      </c>
      <c r="B53" s="804"/>
      <c r="C53" s="804"/>
    </row>
    <row r="57" spans="1:23" x14ac:dyDescent="0.45">
      <c r="W57" s="120" t="s">
        <v>190</v>
      </c>
    </row>
    <row r="93" spans="18:18" x14ac:dyDescent="0.45">
      <c r="R93" s="120" t="s">
        <v>273</v>
      </c>
    </row>
    <row r="96" spans="18:18" x14ac:dyDescent="0.45">
      <c r="R96" s="805" t="s">
        <v>272</v>
      </c>
    </row>
  </sheetData>
  <sheetProtection algorithmName="SHA-512" hashValue="PS4W10yxutzMK2n4bmXIUBG1vSuQYeAdKGceTRVbpSE+Qfal8jxh6GfN91O8Wf7MsXVYq1FSuy6ikdNRIsmFAg==" saltValue="TSa6Wk2Zn5LDvJUi357sWA==" spinCount="100000" sheet="1" objects="1" scenarios="1" selectLockedCells="1"/>
  <pageMargins left="0.7" right="0.7" top="0.75" bottom="0.75" header="0.3" footer="0.3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8"/>
  <sheetViews>
    <sheetView zoomScale="75" zoomScaleNormal="75" workbookViewId="0">
      <selection activeCell="L29" sqref="L29"/>
    </sheetView>
  </sheetViews>
  <sheetFormatPr defaultRowHeight="14.25" x14ac:dyDescent="0.45"/>
  <cols>
    <col min="1" max="3" width="9.06640625" style="120"/>
    <col min="4" max="4" width="11.86328125" style="120" customWidth="1"/>
    <col min="5" max="5" width="9.86328125" style="120" customWidth="1"/>
    <col min="6" max="6" width="8.59765625" style="120" customWidth="1"/>
    <col min="7" max="7" width="10.265625" style="120" customWidth="1"/>
    <col min="8" max="8" width="9.73046875" style="120" customWidth="1"/>
    <col min="9" max="9" width="9.19921875" style="120" customWidth="1"/>
    <col min="10" max="10" width="9.86328125" style="120" customWidth="1"/>
    <col min="11" max="11" width="9.73046875" style="120" customWidth="1"/>
    <col min="12" max="12" width="11.06640625" style="120" customWidth="1"/>
    <col min="13" max="13" width="9.06640625" style="120"/>
    <col min="14" max="14" width="14.3984375" style="708" customWidth="1"/>
    <col min="15" max="15" width="22.59765625" style="120" customWidth="1"/>
    <col min="16" max="16" width="9.53125" style="120" customWidth="1"/>
    <col min="17" max="16384" width="9.06640625" style="120"/>
  </cols>
  <sheetData>
    <row r="1" spans="1:16" ht="21" x14ac:dyDescent="0.65">
      <c r="A1" s="815" t="s">
        <v>53</v>
      </c>
      <c r="B1" s="816"/>
      <c r="C1" s="816"/>
      <c r="E1" s="817" t="str">
        <f>MKT!C1</f>
        <v>UK</v>
      </c>
      <c r="F1" s="818" t="s">
        <v>142</v>
      </c>
      <c r="G1" s="819"/>
      <c r="H1" s="819"/>
      <c r="I1" s="819"/>
      <c r="J1" s="819"/>
      <c r="K1" s="819"/>
      <c r="L1" s="819"/>
      <c r="M1" s="819"/>
      <c r="N1" s="820"/>
      <c r="O1" s="819"/>
    </row>
    <row r="2" spans="1:16" x14ac:dyDescent="0.45">
      <c r="A2" s="819"/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20"/>
      <c r="O2" s="819"/>
    </row>
    <row r="3" spans="1:16" x14ac:dyDescent="0.45">
      <c r="A3" s="819"/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20"/>
      <c r="O3" s="819"/>
    </row>
    <row r="4" spans="1:16" x14ac:dyDescent="0.45">
      <c r="A4" s="819"/>
      <c r="B4" s="819"/>
      <c r="C4" s="819"/>
      <c r="D4" s="819"/>
      <c r="E4" s="819"/>
      <c r="F4" s="819"/>
      <c r="G4" s="819"/>
      <c r="H4" s="819"/>
      <c r="I4" s="819"/>
      <c r="K4" s="819"/>
      <c r="L4" s="819"/>
      <c r="M4" s="819"/>
      <c r="N4" s="820"/>
      <c r="O4" s="819"/>
    </row>
    <row r="5" spans="1:16" x14ac:dyDescent="0.45">
      <c r="A5" s="819"/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20"/>
      <c r="O5" s="819"/>
    </row>
    <row r="6" spans="1:16" ht="18" x14ac:dyDescent="0.55000000000000004">
      <c r="A6" s="819"/>
      <c r="B6" s="819"/>
      <c r="C6" s="819"/>
      <c r="D6" s="821" t="s">
        <v>170</v>
      </c>
      <c r="E6" s="822"/>
      <c r="F6" s="821" t="s">
        <v>171</v>
      </c>
      <c r="G6" s="822"/>
      <c r="H6" s="823" t="s">
        <v>872</v>
      </c>
      <c r="I6" s="822"/>
      <c r="J6" s="821" t="s">
        <v>172</v>
      </c>
      <c r="K6" s="824"/>
      <c r="L6" s="821" t="s">
        <v>873</v>
      </c>
      <c r="M6" s="825"/>
      <c r="N6" s="821" t="s">
        <v>173</v>
      </c>
      <c r="O6" s="819"/>
    </row>
    <row r="7" spans="1:16" ht="18" x14ac:dyDescent="0.55000000000000004">
      <c r="A7" s="819"/>
      <c r="B7" s="819"/>
      <c r="C7" s="819"/>
      <c r="D7" s="826"/>
      <c r="E7" s="819"/>
      <c r="F7" s="826"/>
      <c r="G7" s="819"/>
      <c r="H7" s="826"/>
      <c r="I7" s="819"/>
      <c r="J7" s="826"/>
      <c r="K7" s="826"/>
      <c r="L7" s="826"/>
      <c r="M7" s="827"/>
      <c r="N7" s="828"/>
      <c r="O7" s="819"/>
    </row>
    <row r="8" spans="1:16" ht="18" x14ac:dyDescent="0.55000000000000004">
      <c r="A8" s="819"/>
      <c r="B8" s="826" t="s">
        <v>871</v>
      </c>
      <c r="C8" s="829"/>
      <c r="D8" s="16">
        <f>CON!C51</f>
        <v>12.129760151114096</v>
      </c>
      <c r="E8" s="119"/>
      <c r="F8" s="16">
        <f>ETAIL!E32</f>
        <v>4.4942586661294079</v>
      </c>
      <c r="G8" s="119"/>
      <c r="H8" s="16">
        <f>DOPN2!L46/1000000</f>
        <v>7.1080288124461664</v>
      </c>
      <c r="J8" s="16">
        <f>CARR2!K25</f>
        <v>4.9936207401437898</v>
      </c>
      <c r="K8" s="16"/>
      <c r="L8" s="16">
        <f>LCARR!L30/1000</f>
        <v>1.8526944594434669</v>
      </c>
      <c r="N8" s="830">
        <f>COMM!D38</f>
        <v>20525.147939678165</v>
      </c>
    </row>
    <row r="9" spans="1:16" x14ac:dyDescent="0.45">
      <c r="A9" s="819"/>
      <c r="B9" s="826"/>
      <c r="C9" s="831"/>
      <c r="D9" s="832" t="s">
        <v>40</v>
      </c>
      <c r="E9" s="833"/>
      <c r="F9" s="834" t="s">
        <v>40</v>
      </c>
      <c r="G9" s="833"/>
      <c r="H9" s="834" t="s">
        <v>40</v>
      </c>
      <c r="I9" s="834"/>
      <c r="J9" s="834" t="s">
        <v>40</v>
      </c>
      <c r="K9" s="834"/>
      <c r="L9" s="834" t="s">
        <v>40</v>
      </c>
      <c r="M9" s="835"/>
      <c r="N9" s="832" t="s">
        <v>845</v>
      </c>
      <c r="O9" s="835"/>
    </row>
    <row r="10" spans="1:16" ht="13.5" customHeight="1" x14ac:dyDescent="0.45">
      <c r="A10" s="819"/>
      <c r="B10" s="819"/>
      <c r="C10" s="819"/>
      <c r="D10" s="832"/>
      <c r="E10" s="819"/>
      <c r="F10" s="819"/>
      <c r="G10" s="819"/>
      <c r="H10" s="819"/>
      <c r="I10" s="819"/>
      <c r="J10" s="819"/>
      <c r="K10" s="819"/>
      <c r="L10" s="819"/>
      <c r="M10" s="819"/>
      <c r="N10" s="820"/>
      <c r="O10" s="819"/>
    </row>
    <row r="11" spans="1:16" ht="14.65" customHeight="1" x14ac:dyDescent="0.45">
      <c r="A11" s="819"/>
      <c r="B11" s="819"/>
      <c r="C11" s="819"/>
      <c r="D11" s="819"/>
      <c r="E11" s="819"/>
      <c r="F11" s="819"/>
      <c r="G11" s="819"/>
      <c r="H11" s="819"/>
      <c r="I11" s="819"/>
      <c r="J11" s="819"/>
      <c r="K11" s="819"/>
      <c r="L11" s="819"/>
      <c r="M11" s="819"/>
      <c r="N11" s="820"/>
      <c r="O11" s="819"/>
    </row>
    <row r="12" spans="1:16" s="836" customFormat="1" ht="22.5" customHeight="1" x14ac:dyDescent="0.65">
      <c r="A12" s="833"/>
      <c r="B12" s="833"/>
      <c r="C12" s="833"/>
      <c r="D12" s="833"/>
      <c r="E12" s="833"/>
      <c r="F12" s="816"/>
      <c r="H12" s="837">
        <f>DOPN2!L8</f>
        <v>70392</v>
      </c>
      <c r="I12" s="836" t="s">
        <v>867</v>
      </c>
      <c r="K12" s="833"/>
      <c r="L12" s="119"/>
      <c r="M12" s="833"/>
      <c r="N12" s="838"/>
    </row>
    <row r="13" spans="1:16" ht="15.75" x14ac:dyDescent="0.5">
      <c r="H13" s="839">
        <f>DOPN2!L7/1000</f>
        <v>1.9047565804309545</v>
      </c>
      <c r="I13" s="836" t="s">
        <v>869</v>
      </c>
      <c r="N13" s="840"/>
      <c r="P13" s="46"/>
    </row>
    <row r="14" spans="1:16" ht="18" x14ac:dyDescent="0.5">
      <c r="H14" s="841">
        <f>DOPN2!L19/1000000</f>
        <v>0.95237829021547726</v>
      </c>
      <c r="I14" s="836" t="s">
        <v>868</v>
      </c>
      <c r="N14" s="842"/>
    </row>
    <row r="15" spans="1:16" ht="15.75" x14ac:dyDescent="0.5">
      <c r="H15" s="843">
        <f>DOPN2!M30/1000</f>
        <v>440.04963098079332</v>
      </c>
      <c r="I15" s="836" t="s">
        <v>870</v>
      </c>
    </row>
    <row r="16" spans="1:16" x14ac:dyDescent="0.45">
      <c r="F16" s="369"/>
      <c r="G16" s="369"/>
      <c r="H16" s="454"/>
      <c r="I16" s="369"/>
    </row>
    <row r="17" spans="1:14" x14ac:dyDescent="0.45">
      <c r="F17" s="369"/>
      <c r="G17" s="369"/>
      <c r="H17" s="369"/>
      <c r="I17" s="369"/>
    </row>
    <row r="18" spans="1:14" ht="21" x14ac:dyDescent="0.65">
      <c r="A18" s="844"/>
      <c r="D18" s="845"/>
      <c r="E18" s="845"/>
      <c r="F18" s="845"/>
      <c r="G18" s="845"/>
      <c r="H18" s="846" t="s">
        <v>65</v>
      </c>
      <c r="I18" s="847">
        <f>D8+F8+J8+H8+L8</f>
        <v>30.578362829276923</v>
      </c>
      <c r="J18" s="848" t="s">
        <v>40</v>
      </c>
      <c r="K18" s="845"/>
      <c r="L18" s="845"/>
      <c r="M18" s="845"/>
      <c r="N18" s="849"/>
    </row>
  </sheetData>
  <sheetProtection algorithmName="SHA-512" hashValue="7xF9iCMcI1jFBug/fCbtnLwDXLQw3ltENUDXWRN9o1Wbe0iCzYIOq0aJZiWp2cEHEtQB5M3CPyltmv/bz8Pgfg==" saltValue="7OkZjMstF/4xQYHmUw6aCg==" spinCount="100000" sheet="1" objects="1" scenarios="1" selectLockedCells="1"/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3"/>
  <sheetViews>
    <sheetView zoomScale="75" zoomScaleNormal="75" zoomScaleSheetLayoutView="90" workbookViewId="0">
      <selection activeCell="D24" sqref="D24"/>
    </sheetView>
  </sheetViews>
  <sheetFormatPr defaultRowHeight="14.25" x14ac:dyDescent="0.45"/>
  <cols>
    <col min="1" max="1" width="35.86328125" style="22" customWidth="1"/>
    <col min="2" max="2" width="8" style="22" bestFit="1" customWidth="1"/>
    <col min="3" max="16384" width="9.06640625" style="22"/>
  </cols>
  <sheetData>
    <row r="1" spans="1:2" s="26" customFormat="1" ht="20.65" x14ac:dyDescent="0.6">
      <c r="A1" s="83" t="s">
        <v>51</v>
      </c>
      <c r="B1" s="84"/>
    </row>
    <row r="2" spans="1:2" s="26" customFormat="1" x14ac:dyDescent="0.45">
      <c r="A2" s="85"/>
      <c r="B2" s="86"/>
    </row>
    <row r="3" spans="1:2" s="26" customFormat="1" x14ac:dyDescent="0.45">
      <c r="A3" s="85"/>
      <c r="B3" s="86"/>
    </row>
    <row r="4" spans="1:2" s="26" customFormat="1" x14ac:dyDescent="0.45">
      <c r="A4" s="87" t="s">
        <v>3</v>
      </c>
      <c r="B4" s="87" t="s">
        <v>4</v>
      </c>
    </row>
    <row r="5" spans="1:2" s="26" customFormat="1" x14ac:dyDescent="0.45">
      <c r="A5" s="88"/>
      <c r="B5" s="88"/>
    </row>
    <row r="6" spans="1:2" x14ac:dyDescent="0.45">
      <c r="A6" s="89"/>
      <c r="B6" s="89"/>
    </row>
    <row r="7" spans="1:2" x14ac:dyDescent="0.45">
      <c r="A7" s="1" t="s">
        <v>5</v>
      </c>
      <c r="B7" s="91" t="s">
        <v>5</v>
      </c>
    </row>
    <row r="8" spans="1:2" x14ac:dyDescent="0.45">
      <c r="A8" s="1" t="s">
        <v>2</v>
      </c>
      <c r="B8" s="91" t="s">
        <v>2</v>
      </c>
    </row>
    <row r="9" spans="1:2" x14ac:dyDescent="0.45">
      <c r="A9" s="1" t="s">
        <v>298</v>
      </c>
      <c r="B9" s="91" t="s">
        <v>297</v>
      </c>
    </row>
    <row r="10" spans="1:2" x14ac:dyDescent="0.45">
      <c r="A10" s="1" t="str">
        <f>MKT!A1</f>
        <v>Geographic markets</v>
      </c>
      <c r="B10" s="90" t="s">
        <v>127</v>
      </c>
    </row>
    <row r="11" spans="1:2" x14ac:dyDescent="0.45">
      <c r="A11" s="1" t="str">
        <f>'MKT1'!A1</f>
        <v>Selected Markets - base case</v>
      </c>
      <c r="B11" s="91" t="s">
        <v>66</v>
      </c>
    </row>
    <row r="12" spans="1:2" x14ac:dyDescent="0.45">
      <c r="A12" s="1" t="str">
        <f>CON!A1</f>
        <v>Consumer Value</v>
      </c>
      <c r="B12" s="91" t="s">
        <v>249</v>
      </c>
    </row>
    <row r="13" spans="1:2" x14ac:dyDescent="0.45">
      <c r="A13" s="1" t="str">
        <f>ETAIL!A1</f>
        <v>Etail Value</v>
      </c>
      <c r="B13" s="91" t="s">
        <v>46</v>
      </c>
    </row>
    <row r="14" spans="1:2" x14ac:dyDescent="0.45">
      <c r="A14" s="1" t="str">
        <f>'MKT2'!A1</f>
        <v>Selected markets adjusted for consumer values</v>
      </c>
      <c r="B14" s="91" t="s">
        <v>67</v>
      </c>
    </row>
    <row r="15" spans="1:2" x14ac:dyDescent="0.45">
      <c r="A15" s="1" t="str">
        <f>DOPN1!A1</f>
        <v>DOPN Locker Network</v>
      </c>
      <c r="B15" s="91" t="s">
        <v>422</v>
      </c>
    </row>
    <row r="16" spans="1:2" x14ac:dyDescent="0.45">
      <c r="A16" s="1" t="str">
        <f>DOPN2!A1</f>
        <v>DOPN Value</v>
      </c>
      <c r="B16" s="91" t="s">
        <v>423</v>
      </c>
    </row>
    <row r="17" spans="1:2" x14ac:dyDescent="0.45">
      <c r="A17" s="1" t="str">
        <f>CARR1!A1</f>
        <v>National Carrier Costs</v>
      </c>
      <c r="B17" s="91" t="s">
        <v>49</v>
      </c>
    </row>
    <row r="18" spans="1:2" x14ac:dyDescent="0.45">
      <c r="A18" s="1" t="str">
        <f>CARR2!A1</f>
        <v xml:space="preserve">National Carrier Value </v>
      </c>
      <c r="B18" s="91" t="s">
        <v>50</v>
      </c>
    </row>
    <row r="19" spans="1:2" x14ac:dyDescent="0.45">
      <c r="A19" s="1" t="str">
        <f>LCARR!A1</f>
        <v>Local carrier Value</v>
      </c>
      <c r="B19" s="91" t="s">
        <v>276</v>
      </c>
    </row>
    <row r="20" spans="1:2" x14ac:dyDescent="0.45">
      <c r="A20" s="1" t="str">
        <f>COMM!A1</f>
        <v>Communities Value</v>
      </c>
      <c r="B20" s="91" t="s">
        <v>47</v>
      </c>
    </row>
    <row r="21" spans="1:2" x14ac:dyDescent="0.45">
      <c r="A21" s="1" t="str">
        <f>SUM!A1</f>
        <v>Value Chain Summary</v>
      </c>
      <c r="B21" s="91" t="s">
        <v>126</v>
      </c>
    </row>
    <row r="22" spans="1:2" x14ac:dyDescent="0.45">
      <c r="A22" s="90"/>
      <c r="B22" s="91"/>
    </row>
    <row r="27" spans="1:2" x14ac:dyDescent="0.45">
      <c r="A27" s="90"/>
      <c r="B27" s="91"/>
    </row>
    <row r="28" spans="1:2" x14ac:dyDescent="0.45">
      <c r="A28" s="90"/>
      <c r="B28" s="91"/>
    </row>
    <row r="29" spans="1:2" x14ac:dyDescent="0.45">
      <c r="A29" s="90"/>
      <c r="B29" s="91"/>
    </row>
    <row r="30" spans="1:2" x14ac:dyDescent="0.45">
      <c r="A30" s="90"/>
      <c r="B30" s="91"/>
    </row>
    <row r="31" spans="1:2" x14ac:dyDescent="0.45">
      <c r="A31" s="90"/>
      <c r="B31" s="91"/>
    </row>
    <row r="32" spans="1:2" x14ac:dyDescent="0.45">
      <c r="A32" s="90"/>
      <c r="B32" s="91"/>
    </row>
    <row r="33" spans="1:2" x14ac:dyDescent="0.45">
      <c r="A33" s="92"/>
      <c r="B33" s="91"/>
    </row>
  </sheetData>
  <sheetProtection algorithmName="SHA-512" hashValue="Ui+znWbJLbicvGvoVXsTBwnPRmp1Af1f0saFFnU6EFqz9Cr8VQn5RCX9HB6O+aevQ463Y0K6ypn3lTQCiMNU+Q==" saltValue="13IAQpvHoE1QVYKbnY54dg==" spinCount="100000" sheet="1" objects="1" scenarios="1" selectLockedCells="1"/>
  <hyperlinks>
    <hyperlink ref="A7" location="'Cover'!A1" display="Cover" xr:uid="{00000000-0004-0000-0D00-000000000000}"/>
    <hyperlink ref="A12" location="'Index'!A1" display="Index" xr:uid="{00000000-0004-0000-0D00-000001000000}"/>
    <hyperlink ref="A8" location="'Index'!A1" display="Index" xr:uid="{00000000-0004-0000-0D00-000002000000}"/>
    <hyperlink ref="A10" location="'Cover'!A1" display="Cover" xr:uid="{00000000-0004-0000-0D00-000003000000}"/>
  </hyperlink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B3AB-BFB2-4062-A33E-BD87BCF574DE}">
  <dimension ref="A1:O59"/>
  <sheetViews>
    <sheetView zoomScale="75" zoomScaleNormal="75" workbookViewId="0">
      <selection activeCell="N13" sqref="N13"/>
    </sheetView>
  </sheetViews>
  <sheetFormatPr defaultRowHeight="14.25" x14ac:dyDescent="0.45"/>
  <cols>
    <col min="1" max="3" width="9.06640625" style="22"/>
    <col min="4" max="4" width="11.86328125" style="22" customWidth="1"/>
    <col min="5" max="5" width="9.86328125" style="22" customWidth="1"/>
    <col min="6" max="6" width="8.59765625" style="22" customWidth="1"/>
    <col min="7" max="7" width="10.265625" style="22" customWidth="1"/>
    <col min="8" max="8" width="9.73046875" style="22" customWidth="1"/>
    <col min="9" max="9" width="10.3984375" style="22" customWidth="1"/>
    <col min="10" max="10" width="9.86328125" style="22" customWidth="1"/>
    <col min="11" max="11" width="9.73046875" style="22" customWidth="1"/>
    <col min="12" max="12" width="11.06640625" style="22" customWidth="1"/>
    <col min="13" max="13" width="9.06640625" style="22"/>
    <col min="14" max="14" width="14.3984375" style="22" customWidth="1"/>
    <col min="15" max="15" width="22.59765625" style="22" customWidth="1"/>
    <col min="16" max="16384" width="9.06640625" style="22"/>
  </cols>
  <sheetData>
    <row r="1" spans="1:15" ht="21" x14ac:dyDescent="0.65">
      <c r="A1" s="93" t="s">
        <v>298</v>
      </c>
      <c r="B1" s="94"/>
      <c r="C1" s="94"/>
      <c r="G1" s="95"/>
      <c r="H1" s="95"/>
      <c r="I1" s="95"/>
      <c r="J1" s="95"/>
      <c r="K1" s="95"/>
      <c r="L1" s="95"/>
      <c r="M1" s="95"/>
      <c r="N1" s="95"/>
      <c r="O1" s="95"/>
    </row>
    <row r="2" spans="1:15" ht="21" x14ac:dyDescent="0.65">
      <c r="A2" s="96"/>
      <c r="B2" s="94"/>
      <c r="C2" s="94"/>
      <c r="E2" s="97"/>
      <c r="F2" s="98"/>
      <c r="G2" s="95"/>
      <c r="H2" s="95"/>
      <c r="I2" s="95"/>
      <c r="J2" s="95"/>
      <c r="K2" s="95"/>
      <c r="L2" s="95"/>
      <c r="M2" s="95"/>
      <c r="N2" s="95"/>
      <c r="O2" s="95"/>
    </row>
    <row r="3" spans="1:15" x14ac:dyDescent="0.4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4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x14ac:dyDescent="0.4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18" x14ac:dyDescent="0.55000000000000004">
      <c r="A6" s="99" t="str">
        <f>MKT!C1</f>
        <v>UK</v>
      </c>
      <c r="B6" s="98" t="s">
        <v>142</v>
      </c>
      <c r="C6" s="95"/>
      <c r="D6" s="100" t="s">
        <v>170</v>
      </c>
      <c r="E6" s="101"/>
      <c r="F6" s="100" t="s">
        <v>171</v>
      </c>
      <c r="G6" s="101"/>
      <c r="H6" s="102" t="s">
        <v>433</v>
      </c>
      <c r="I6" s="101"/>
      <c r="J6" s="100" t="s">
        <v>172</v>
      </c>
      <c r="K6" s="103"/>
      <c r="L6" s="100" t="s">
        <v>430</v>
      </c>
      <c r="M6" s="104"/>
      <c r="N6" s="103" t="s">
        <v>173</v>
      </c>
      <c r="O6" s="95"/>
    </row>
    <row r="7" spans="1:15" ht="18" x14ac:dyDescent="0.55000000000000004">
      <c r="A7" s="95"/>
      <c r="B7" s="95"/>
      <c r="C7" s="95"/>
      <c r="D7" s="105"/>
      <c r="E7" s="95"/>
      <c r="F7" s="105"/>
      <c r="G7" s="95"/>
      <c r="H7" s="105"/>
      <c r="I7" s="95"/>
      <c r="J7" s="105"/>
      <c r="K7" s="105"/>
      <c r="L7" s="105"/>
      <c r="M7" s="106"/>
      <c r="N7" s="105"/>
      <c r="O7" s="95"/>
    </row>
    <row r="8" spans="1:15" ht="18" x14ac:dyDescent="0.55000000000000004">
      <c r="A8" s="95"/>
      <c r="B8" s="105" t="s">
        <v>259</v>
      </c>
      <c r="C8" s="107"/>
      <c r="D8" s="16">
        <f>CON!C51</f>
        <v>12.129760151114096</v>
      </c>
      <c r="E8" s="119"/>
      <c r="F8" s="16">
        <f>ETAIL!E32</f>
        <v>4.4942586661294079</v>
      </c>
      <c r="G8" s="119"/>
      <c r="H8" s="16">
        <f>DOPN2!L46/1000000</f>
        <v>7.1080288124461664</v>
      </c>
      <c r="I8" s="120"/>
      <c r="J8" s="16">
        <f>CARR2!K25</f>
        <v>4.9936207401437898</v>
      </c>
      <c r="K8" s="16"/>
      <c r="L8" s="16">
        <f>LCARR!L30/1000</f>
        <v>1.8526944594434669</v>
      </c>
      <c r="M8" s="120"/>
      <c r="N8" s="17">
        <f>CARR2!L37</f>
        <v>20525.147939678165</v>
      </c>
      <c r="O8" s="109" t="s">
        <v>844</v>
      </c>
    </row>
    <row r="9" spans="1:15" x14ac:dyDescent="0.45">
      <c r="A9" s="95"/>
      <c r="B9" s="105"/>
      <c r="C9" s="110"/>
      <c r="D9" s="109" t="s">
        <v>40</v>
      </c>
      <c r="E9" s="111"/>
      <c r="F9" s="112" t="s">
        <v>40</v>
      </c>
      <c r="G9" s="111"/>
      <c r="H9" s="112" t="s">
        <v>40</v>
      </c>
      <c r="I9" s="112"/>
      <c r="J9" s="112" t="s">
        <v>40</v>
      </c>
      <c r="K9" s="112"/>
      <c r="L9" s="112" t="s">
        <v>40</v>
      </c>
      <c r="M9" s="113"/>
      <c r="O9" s="113"/>
    </row>
    <row r="10" spans="1:15" x14ac:dyDescent="0.45">
      <c r="A10" s="95"/>
      <c r="B10" s="95"/>
      <c r="C10" s="95"/>
      <c r="D10" s="109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15" x14ac:dyDescent="0.4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spans="1:15" ht="21" x14ac:dyDescent="0.65">
      <c r="A12" s="111"/>
      <c r="B12" s="111"/>
      <c r="C12" s="111"/>
      <c r="D12" s="111"/>
      <c r="E12" s="111"/>
      <c r="F12" s="94"/>
      <c r="G12" s="96" t="s">
        <v>65</v>
      </c>
      <c r="H12" s="96"/>
      <c r="I12" s="18">
        <f>D8+F8+J8+H8+L8</f>
        <v>30.578362829276923</v>
      </c>
      <c r="J12" s="105" t="s">
        <v>40</v>
      </c>
      <c r="K12" s="111"/>
      <c r="L12" s="108"/>
      <c r="M12" s="111"/>
    </row>
    <row r="15" spans="1:15" x14ac:dyDescent="0.45">
      <c r="A15" s="114" t="s">
        <v>433</v>
      </c>
      <c r="B15" s="22" t="s">
        <v>434</v>
      </c>
    </row>
    <row r="16" spans="1:15" x14ac:dyDescent="0.45">
      <c r="A16" s="22" t="s">
        <v>431</v>
      </c>
      <c r="B16" s="22" t="s">
        <v>432</v>
      </c>
    </row>
    <row r="19" spans="1:9" x14ac:dyDescent="0.45">
      <c r="A19" s="115" t="s">
        <v>375</v>
      </c>
      <c r="B19" s="115"/>
      <c r="C19" s="115"/>
      <c r="D19" s="115"/>
    </row>
    <row r="20" spans="1:9" x14ac:dyDescent="0.45">
      <c r="F20" s="116"/>
      <c r="G20" s="116"/>
      <c r="H20" s="116"/>
      <c r="I20" s="116"/>
    </row>
    <row r="21" spans="1:9" x14ac:dyDescent="0.45">
      <c r="A21" s="22" t="s">
        <v>376</v>
      </c>
      <c r="F21" s="116"/>
      <c r="G21" s="116"/>
      <c r="H21" s="116"/>
      <c r="I21" s="116"/>
    </row>
    <row r="22" spans="1:9" x14ac:dyDescent="0.45">
      <c r="F22" s="116"/>
      <c r="G22" s="116"/>
      <c r="H22" s="116"/>
      <c r="I22" s="116"/>
    </row>
    <row r="23" spans="1:9" x14ac:dyDescent="0.45">
      <c r="A23" s="117" t="s">
        <v>299</v>
      </c>
      <c r="F23" s="116"/>
      <c r="G23" s="116"/>
      <c r="H23" s="116"/>
      <c r="I23" s="116"/>
    </row>
    <row r="24" spans="1:9" x14ac:dyDescent="0.45">
      <c r="A24" s="118" t="s">
        <v>300</v>
      </c>
    </row>
    <row r="25" spans="1:9" x14ac:dyDescent="0.45">
      <c r="A25" s="118" t="s">
        <v>301</v>
      </c>
    </row>
    <row r="26" spans="1:9" x14ac:dyDescent="0.45">
      <c r="A26" s="118" t="s">
        <v>302</v>
      </c>
    </row>
    <row r="27" spans="1:9" x14ac:dyDescent="0.45">
      <c r="A27" s="118" t="s">
        <v>303</v>
      </c>
    </row>
    <row r="28" spans="1:9" x14ac:dyDescent="0.45">
      <c r="A28" s="117" t="s">
        <v>304</v>
      </c>
    </row>
    <row r="29" spans="1:9" x14ac:dyDescent="0.45">
      <c r="A29" s="117" t="s">
        <v>305</v>
      </c>
    </row>
    <row r="30" spans="1:9" x14ac:dyDescent="0.45">
      <c r="A30" s="117" t="s">
        <v>306</v>
      </c>
    </row>
    <row r="31" spans="1:9" x14ac:dyDescent="0.45">
      <c r="A31" s="117" t="s">
        <v>307</v>
      </c>
    </row>
    <row r="32" spans="1:9" x14ac:dyDescent="0.45">
      <c r="A32" s="117" t="s">
        <v>308</v>
      </c>
    </row>
    <row r="33" spans="1:1" x14ac:dyDescent="0.45">
      <c r="A33" s="117" t="s">
        <v>309</v>
      </c>
    </row>
    <row r="34" spans="1:1" x14ac:dyDescent="0.45">
      <c r="A34" s="117" t="s">
        <v>310</v>
      </c>
    </row>
    <row r="35" spans="1:1" x14ac:dyDescent="0.45">
      <c r="A35" s="117" t="s">
        <v>311</v>
      </c>
    </row>
    <row r="36" spans="1:1" x14ac:dyDescent="0.45">
      <c r="A36" s="117" t="s">
        <v>312</v>
      </c>
    </row>
    <row r="37" spans="1:1" x14ac:dyDescent="0.45">
      <c r="A37" s="117" t="s">
        <v>313</v>
      </c>
    </row>
    <row r="38" spans="1:1" x14ac:dyDescent="0.45">
      <c r="A38" s="117" t="s">
        <v>314</v>
      </c>
    </row>
    <row r="39" spans="1:1" x14ac:dyDescent="0.45">
      <c r="A39" s="117" t="s">
        <v>315</v>
      </c>
    </row>
    <row r="40" spans="1:1" x14ac:dyDescent="0.45">
      <c r="A40" s="117" t="s">
        <v>316</v>
      </c>
    </row>
    <row r="41" spans="1:1" x14ac:dyDescent="0.45">
      <c r="A41" s="117" t="s">
        <v>317</v>
      </c>
    </row>
    <row r="42" spans="1:1" x14ac:dyDescent="0.45">
      <c r="A42" s="117" t="s">
        <v>318</v>
      </c>
    </row>
    <row r="43" spans="1:1" x14ac:dyDescent="0.45">
      <c r="A43" s="117" t="s">
        <v>319</v>
      </c>
    </row>
    <row r="44" spans="1:1" x14ac:dyDescent="0.45">
      <c r="A44" s="117" t="s">
        <v>320</v>
      </c>
    </row>
    <row r="45" spans="1:1" x14ac:dyDescent="0.45">
      <c r="A45" s="117" t="s">
        <v>321</v>
      </c>
    </row>
    <row r="46" spans="1:1" x14ac:dyDescent="0.45">
      <c r="A46" s="117" t="s">
        <v>322</v>
      </c>
    </row>
    <row r="47" spans="1:1" x14ac:dyDescent="0.45">
      <c r="A47" s="117" t="s">
        <v>323</v>
      </c>
    </row>
    <row r="48" spans="1:1" x14ac:dyDescent="0.45">
      <c r="A48" s="118" t="s">
        <v>324</v>
      </c>
    </row>
    <row r="49" spans="1:1" x14ac:dyDescent="0.45">
      <c r="A49" s="118" t="s">
        <v>325</v>
      </c>
    </row>
    <row r="50" spans="1:1" x14ac:dyDescent="0.45">
      <c r="A50" s="118" t="s">
        <v>326</v>
      </c>
    </row>
    <row r="51" spans="1:1" x14ac:dyDescent="0.45">
      <c r="A51" s="118" t="s">
        <v>327</v>
      </c>
    </row>
    <row r="52" spans="1:1" x14ac:dyDescent="0.45">
      <c r="A52" s="118" t="s">
        <v>328</v>
      </c>
    </row>
    <row r="53" spans="1:1" x14ac:dyDescent="0.45">
      <c r="A53" s="118" t="s">
        <v>329</v>
      </c>
    </row>
    <row r="54" spans="1:1" x14ac:dyDescent="0.45">
      <c r="A54" s="117" t="s">
        <v>330</v>
      </c>
    </row>
    <row r="55" spans="1:1" x14ac:dyDescent="0.45">
      <c r="A55" s="117" t="s">
        <v>331</v>
      </c>
    </row>
    <row r="56" spans="1:1" x14ac:dyDescent="0.45">
      <c r="A56" s="117" t="s">
        <v>426</v>
      </c>
    </row>
    <row r="57" spans="1:1" x14ac:dyDescent="0.45">
      <c r="A57" s="117" t="s">
        <v>427</v>
      </c>
    </row>
    <row r="58" spans="1:1" x14ac:dyDescent="0.45">
      <c r="A58" s="117" t="s">
        <v>428</v>
      </c>
    </row>
    <row r="59" spans="1:1" x14ac:dyDescent="0.45">
      <c r="A59" s="117" t="s">
        <v>429</v>
      </c>
    </row>
  </sheetData>
  <sheetProtection algorithmName="SHA-512" hashValue="DkRHusq8BtFIuZHTBqyRGL96FiqqKeSxrX+WFlEbFfxhS0FSKQd5AiUgogKJMjIovJjI4r5LWhrsrJUFGh/aEQ==" saltValue="LGkJciZW6MINuuNS67PFoA==" spinCount="100000" sheet="1" selectLockedCells="1"/>
  <pageMargins left="0.7" right="0.7" top="0.75" bottom="0.75" header="0.3" footer="0.3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J508"/>
  <sheetViews>
    <sheetView zoomScale="75" zoomScaleNormal="75" workbookViewId="0">
      <selection activeCell="N26" sqref="N26"/>
    </sheetView>
  </sheetViews>
  <sheetFormatPr defaultRowHeight="14.25" x14ac:dyDescent="0.45"/>
  <cols>
    <col min="1" max="1" width="31.86328125" style="22" customWidth="1"/>
    <col min="2" max="2" width="13" style="22" customWidth="1"/>
    <col min="3" max="3" width="11.1328125" style="22" customWidth="1"/>
    <col min="4" max="4" width="11.73046875" style="22" bestFit="1" customWidth="1"/>
    <col min="5" max="7" width="9.265625" style="22" customWidth="1"/>
    <col min="8" max="8" width="11.1328125" style="22" customWidth="1"/>
    <col min="9" max="9" width="10.6640625" style="22" customWidth="1"/>
    <col min="10" max="10" width="12.86328125" style="22" customWidth="1"/>
    <col min="11" max="12" width="9.06640625" style="22"/>
    <col min="13" max="13" width="10.59765625" style="22" customWidth="1"/>
    <col min="14" max="16" width="9.06640625" style="22"/>
    <col min="17" max="17" width="10.46484375" style="22" customWidth="1"/>
    <col min="18" max="20" width="9.06640625" style="22"/>
    <col min="21" max="21" width="21.73046875" style="22" customWidth="1"/>
    <col min="22" max="25" width="9.06640625" style="22"/>
    <col min="26" max="29" width="11.73046875" style="22" customWidth="1"/>
    <col min="30" max="16384" width="9.06640625" style="22"/>
  </cols>
  <sheetData>
    <row r="1" spans="1:36" ht="24" customHeight="1" x14ac:dyDescent="0.6">
      <c r="A1" s="19" t="s">
        <v>353</v>
      </c>
      <c r="B1" s="121"/>
      <c r="C1" s="122" t="s">
        <v>905</v>
      </c>
    </row>
    <row r="2" spans="1:36" x14ac:dyDescent="0.45">
      <c r="O2" s="116"/>
    </row>
    <row r="3" spans="1:36" ht="14.65" thickBot="1" x14ac:dyDescent="0.5"/>
    <row r="4" spans="1:36" ht="39" customHeight="1" x14ac:dyDescent="0.45">
      <c r="A4" s="220" t="s">
        <v>354</v>
      </c>
      <c r="B4" s="221" t="s">
        <v>137</v>
      </c>
      <c r="C4" s="221" t="s">
        <v>1</v>
      </c>
      <c r="D4" s="222" t="s">
        <v>135</v>
      </c>
      <c r="E4" s="223" t="s">
        <v>856</v>
      </c>
      <c r="F4" s="224"/>
      <c r="G4" s="224"/>
      <c r="H4" s="222" t="s">
        <v>255</v>
      </c>
      <c r="I4" s="222" t="s">
        <v>130</v>
      </c>
      <c r="J4" s="223" t="s">
        <v>174</v>
      </c>
      <c r="K4" s="225"/>
      <c r="L4" s="226"/>
      <c r="M4" s="223" t="s">
        <v>240</v>
      </c>
      <c r="N4" s="225"/>
      <c r="O4" s="225"/>
      <c r="P4" s="226"/>
      <c r="Q4" s="223" t="s">
        <v>52</v>
      </c>
      <c r="R4" s="225"/>
      <c r="S4" s="225"/>
      <c r="T4" s="227"/>
      <c r="Z4" s="22" t="s">
        <v>222</v>
      </c>
      <c r="AE4" s="22" t="s">
        <v>223</v>
      </c>
      <c r="AJ4" s="22" t="s">
        <v>224</v>
      </c>
    </row>
    <row r="5" spans="1:36" x14ac:dyDescent="0.45">
      <c r="A5" s="228"/>
      <c r="B5" s="203"/>
      <c r="C5" s="203"/>
      <c r="D5" s="203"/>
      <c r="E5" s="205" t="s">
        <v>179</v>
      </c>
      <c r="F5" s="205" t="s">
        <v>180</v>
      </c>
      <c r="G5" s="206" t="s">
        <v>181</v>
      </c>
      <c r="H5" s="124"/>
      <c r="I5" s="124"/>
      <c r="J5" s="208" t="s">
        <v>20</v>
      </c>
      <c r="K5" s="208" t="s">
        <v>132</v>
      </c>
      <c r="L5" s="208" t="s">
        <v>131</v>
      </c>
      <c r="M5" s="208" t="s">
        <v>21</v>
      </c>
      <c r="N5" s="208" t="s">
        <v>20</v>
      </c>
      <c r="O5" s="208" t="s">
        <v>133</v>
      </c>
      <c r="P5" s="208" t="s">
        <v>131</v>
      </c>
      <c r="Q5" s="208" t="s">
        <v>21</v>
      </c>
      <c r="R5" s="208" t="s">
        <v>20</v>
      </c>
      <c r="S5" s="208" t="s">
        <v>133</v>
      </c>
      <c r="T5" s="229" t="s">
        <v>131</v>
      </c>
      <c r="Z5" s="123" t="s">
        <v>6</v>
      </c>
      <c r="AA5" s="123" t="s">
        <v>179</v>
      </c>
      <c r="AB5" s="123" t="s">
        <v>191</v>
      </c>
      <c r="AC5" s="123" t="s">
        <v>181</v>
      </c>
      <c r="AE5" s="123" t="s">
        <v>6</v>
      </c>
      <c r="AF5" s="123" t="s">
        <v>179</v>
      </c>
      <c r="AG5" s="123" t="s">
        <v>191</v>
      </c>
      <c r="AH5" s="123" t="s">
        <v>181</v>
      </c>
    </row>
    <row r="6" spans="1:36" x14ac:dyDescent="0.45">
      <c r="A6" s="230"/>
      <c r="B6" s="204"/>
      <c r="C6" s="204"/>
      <c r="D6" s="204"/>
      <c r="E6" s="125" t="s">
        <v>455</v>
      </c>
      <c r="F6" s="125" t="s">
        <v>296</v>
      </c>
      <c r="G6" s="207" t="s">
        <v>456</v>
      </c>
      <c r="H6" s="202"/>
      <c r="I6" s="202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31"/>
      <c r="Z6" s="126"/>
      <c r="AA6" s="126"/>
      <c r="AB6" s="126"/>
      <c r="AC6" s="126"/>
      <c r="AE6" s="126"/>
      <c r="AF6" s="126"/>
      <c r="AG6" s="126"/>
      <c r="AH6" s="126"/>
    </row>
    <row r="7" spans="1:36" x14ac:dyDescent="0.45">
      <c r="A7" s="186" t="s">
        <v>901</v>
      </c>
      <c r="B7" s="187" t="s">
        <v>136</v>
      </c>
      <c r="C7" s="188">
        <v>2.0272768999999999</v>
      </c>
      <c r="D7" s="189">
        <v>156</v>
      </c>
      <c r="E7" s="190">
        <v>0.9</v>
      </c>
      <c r="F7" s="190">
        <v>0.08</v>
      </c>
      <c r="G7" s="191">
        <f>1-(E7+F7)</f>
        <v>2.0000000000000018E-2</v>
      </c>
      <c r="H7" s="188">
        <v>4.58</v>
      </c>
      <c r="I7" s="192">
        <v>0.105</v>
      </c>
      <c r="J7" s="193">
        <v>0.19600000000000001</v>
      </c>
      <c r="K7" s="194">
        <f t="shared" ref="K7:K23" si="0">(M7*O7)+(Q7*S7)</f>
        <v>3.7709999999999999</v>
      </c>
      <c r="L7" s="195">
        <f t="shared" ref="L7:L22" si="1">K7*J7</f>
        <v>0.739116</v>
      </c>
      <c r="M7" s="196">
        <v>0.7</v>
      </c>
      <c r="N7" s="197">
        <f t="shared" ref="N7:N22" si="2">J7*M7</f>
        <v>0.13719999999999999</v>
      </c>
      <c r="O7" s="193">
        <v>3.09</v>
      </c>
      <c r="P7" s="198">
        <f t="shared" ref="P7:P22" si="3">O7*N7</f>
        <v>0.42394799999999994</v>
      </c>
      <c r="Q7" s="199">
        <f t="shared" ref="Q7:Q22" si="4">1-M7</f>
        <v>0.30000000000000004</v>
      </c>
      <c r="R7" s="200">
        <f t="shared" ref="R7:R22" si="5">Q7*J7</f>
        <v>5.8800000000000012E-2</v>
      </c>
      <c r="S7" s="193">
        <v>5.36</v>
      </c>
      <c r="T7" s="201">
        <f t="shared" ref="T7:T22" si="6">S7*R7</f>
        <v>0.31516800000000006</v>
      </c>
      <c r="Z7" s="134">
        <f>$D7</f>
        <v>156</v>
      </c>
      <c r="AA7" s="134">
        <f>$Z7*E7</f>
        <v>140.4</v>
      </c>
      <c r="AB7" s="134">
        <f t="shared" ref="AB7:AC7" si="7">$Z7*F7</f>
        <v>12.48</v>
      </c>
      <c r="AC7" s="134">
        <f t="shared" si="7"/>
        <v>3.1200000000000028</v>
      </c>
      <c r="AE7" s="22">
        <f>IF($B7="x",Z7,0)</f>
        <v>156</v>
      </c>
      <c r="AF7" s="22">
        <f t="shared" ref="AF7:AH7" si="8">IF($B7="x",AA7,0)</f>
        <v>140.4</v>
      </c>
      <c r="AG7" s="22">
        <f t="shared" si="8"/>
        <v>12.48</v>
      </c>
      <c r="AH7" s="22">
        <f t="shared" si="8"/>
        <v>3.1200000000000028</v>
      </c>
    </row>
    <row r="8" spans="1:36" x14ac:dyDescent="0.45">
      <c r="A8" s="127" t="s">
        <v>902</v>
      </c>
      <c r="B8" s="187" t="s">
        <v>136</v>
      </c>
      <c r="C8" s="129">
        <v>1.6741630000000001</v>
      </c>
      <c r="D8" s="130">
        <v>164</v>
      </c>
      <c r="E8" s="131">
        <v>0.8</v>
      </c>
      <c r="F8" s="131">
        <v>0.16</v>
      </c>
      <c r="G8" s="3">
        <f t="shared" ref="G8:G22" si="9">1-(E8+F8)</f>
        <v>3.9999999999999925E-2</v>
      </c>
      <c r="H8" s="129">
        <v>3.37</v>
      </c>
      <c r="I8" s="132">
        <v>8.8999999999999996E-2</v>
      </c>
      <c r="J8" s="133">
        <v>0.16600000000000001</v>
      </c>
      <c r="K8" s="167">
        <f t="shared" si="0"/>
        <v>3.7709999999999999</v>
      </c>
      <c r="L8" s="168">
        <f t="shared" si="1"/>
        <v>0.62598600000000004</v>
      </c>
      <c r="M8" s="7">
        <v>0.7</v>
      </c>
      <c r="N8" s="169">
        <f t="shared" si="2"/>
        <v>0.1162</v>
      </c>
      <c r="O8" s="133">
        <v>3.09</v>
      </c>
      <c r="P8" s="50">
        <f t="shared" si="3"/>
        <v>0.35905799999999999</v>
      </c>
      <c r="Q8" s="170">
        <f t="shared" si="4"/>
        <v>0.30000000000000004</v>
      </c>
      <c r="R8" s="171">
        <f t="shared" si="5"/>
        <v>4.9800000000000011E-2</v>
      </c>
      <c r="S8" s="133">
        <v>5.36</v>
      </c>
      <c r="T8" s="172">
        <f t="shared" si="6"/>
        <v>0.26692800000000005</v>
      </c>
      <c r="Z8" s="134">
        <f t="shared" ref="Z8:Z22" si="10">$D8</f>
        <v>164</v>
      </c>
      <c r="AA8" s="134">
        <f t="shared" ref="AA8:AA22" si="11">$Z8*E8</f>
        <v>131.20000000000002</v>
      </c>
      <c r="AB8" s="134">
        <f t="shared" ref="AB8:AB22" si="12">$Z8*F8</f>
        <v>26.240000000000002</v>
      </c>
      <c r="AC8" s="134">
        <f t="shared" ref="AC8:AC22" si="13">$Z8*G8</f>
        <v>6.5599999999999881</v>
      </c>
      <c r="AE8" s="22">
        <f t="shared" ref="AE8:AE21" si="14">IF($B8="x",Z8,0)</f>
        <v>164</v>
      </c>
      <c r="AF8" s="22">
        <f t="shared" ref="AF8:AF21" si="15">IF($B8="x",AA8,0)</f>
        <v>131.20000000000002</v>
      </c>
      <c r="AG8" s="22">
        <f t="shared" ref="AG8:AG21" si="16">IF($B8="x",AB8,0)</f>
        <v>26.240000000000002</v>
      </c>
      <c r="AH8" s="22">
        <f t="shared" ref="AH8:AH21" si="17">IF($B8="x",AC8,0)</f>
        <v>6.5599999999999881</v>
      </c>
    </row>
    <row r="9" spans="1:36" x14ac:dyDescent="0.45">
      <c r="A9" s="127" t="s">
        <v>903</v>
      </c>
      <c r="B9" s="187" t="s">
        <v>136</v>
      </c>
      <c r="C9" s="129">
        <v>5.5510919999999997</v>
      </c>
      <c r="D9" s="130">
        <v>1253</v>
      </c>
      <c r="E9" s="131">
        <v>0.75</v>
      </c>
      <c r="F9" s="131">
        <v>0.2</v>
      </c>
      <c r="G9" s="3">
        <f t="shared" si="9"/>
        <v>5.0000000000000044E-2</v>
      </c>
      <c r="H9" s="129">
        <v>12.82</v>
      </c>
      <c r="I9" s="132">
        <v>0.29299999999999998</v>
      </c>
      <c r="J9" s="133">
        <v>0.54800000000000004</v>
      </c>
      <c r="K9" s="167">
        <f t="shared" si="0"/>
        <v>3.7709999999999999</v>
      </c>
      <c r="L9" s="168">
        <f t="shared" si="1"/>
        <v>2.0665080000000002</v>
      </c>
      <c r="M9" s="7">
        <v>0.7</v>
      </c>
      <c r="N9" s="169">
        <f t="shared" si="2"/>
        <v>0.3836</v>
      </c>
      <c r="O9" s="133">
        <v>3.09</v>
      </c>
      <c r="P9" s="50">
        <f t="shared" si="3"/>
        <v>1.185324</v>
      </c>
      <c r="Q9" s="170">
        <f t="shared" si="4"/>
        <v>0.30000000000000004</v>
      </c>
      <c r="R9" s="171">
        <f t="shared" si="5"/>
        <v>0.16440000000000005</v>
      </c>
      <c r="S9" s="133">
        <v>5.36</v>
      </c>
      <c r="T9" s="172">
        <f t="shared" si="6"/>
        <v>0.8811840000000003</v>
      </c>
      <c r="Z9" s="134">
        <f t="shared" si="10"/>
        <v>1253</v>
      </c>
      <c r="AA9" s="134">
        <f t="shared" si="11"/>
        <v>939.75</v>
      </c>
      <c r="AB9" s="134">
        <f t="shared" si="12"/>
        <v>250.60000000000002</v>
      </c>
      <c r="AC9" s="134">
        <f t="shared" si="13"/>
        <v>62.650000000000055</v>
      </c>
      <c r="AE9" s="22">
        <f t="shared" si="14"/>
        <v>1253</v>
      </c>
      <c r="AF9" s="22">
        <f t="shared" si="15"/>
        <v>939.75</v>
      </c>
      <c r="AG9" s="22">
        <f t="shared" si="16"/>
        <v>250.60000000000002</v>
      </c>
      <c r="AH9" s="22">
        <f t="shared" si="17"/>
        <v>62.650000000000055</v>
      </c>
    </row>
    <row r="10" spans="1:36" x14ac:dyDescent="0.45">
      <c r="A10" s="127" t="s">
        <v>286</v>
      </c>
      <c r="B10" s="187" t="s">
        <v>136</v>
      </c>
      <c r="C10" s="129">
        <v>9.1340000000000003</v>
      </c>
      <c r="D10" s="130">
        <v>19072</v>
      </c>
      <c r="E10" s="131">
        <v>0.05</v>
      </c>
      <c r="F10" s="131">
        <v>7.0000000000000007E-2</v>
      </c>
      <c r="G10" s="3">
        <f>1-(E10+F10)</f>
        <v>0.88</v>
      </c>
      <c r="H10" s="129">
        <v>13.608000000000001</v>
      </c>
      <c r="I10" s="132">
        <v>0.311</v>
      </c>
      <c r="J10" s="133">
        <v>0.58199999999999996</v>
      </c>
      <c r="K10" s="167">
        <f>(M10*O10)+(Q10*S10)</f>
        <v>3.7709999999999999</v>
      </c>
      <c r="L10" s="168">
        <f>K10*J10</f>
        <v>2.1947219999999996</v>
      </c>
      <c r="M10" s="7">
        <v>0.7</v>
      </c>
      <c r="N10" s="169">
        <f>J10*M10</f>
        <v>0.40739999999999993</v>
      </c>
      <c r="O10" s="133">
        <v>3.09</v>
      </c>
      <c r="P10" s="50">
        <f>O10*N10</f>
        <v>1.2588659999999998</v>
      </c>
      <c r="Q10" s="170">
        <f>1-M10</f>
        <v>0.30000000000000004</v>
      </c>
      <c r="R10" s="171">
        <f>Q10*J10</f>
        <v>0.17460000000000001</v>
      </c>
      <c r="S10" s="133">
        <v>5.36</v>
      </c>
      <c r="T10" s="172">
        <f>S10*R10</f>
        <v>0.93585600000000013</v>
      </c>
      <c r="Z10" s="134">
        <f>$D10</f>
        <v>19072</v>
      </c>
      <c r="AA10" s="134">
        <f>$Z10*E10</f>
        <v>953.6</v>
      </c>
      <c r="AB10" s="134">
        <f>$Z10*F10</f>
        <v>1335.0400000000002</v>
      </c>
      <c r="AC10" s="134">
        <f>$Z10*G10</f>
        <v>16783.36</v>
      </c>
      <c r="AE10" s="22">
        <f>IF($B10="x",Z10,0)</f>
        <v>19072</v>
      </c>
      <c r="AF10" s="22">
        <f>IF($B10="x",AA10,0)</f>
        <v>953.6</v>
      </c>
      <c r="AG10" s="22">
        <f>IF($B10="x",AB10,0)</f>
        <v>1335.0400000000002</v>
      </c>
      <c r="AH10" s="22">
        <f>IF($B10="x",AC10,0)</f>
        <v>16783.36</v>
      </c>
    </row>
    <row r="11" spans="1:36" x14ac:dyDescent="0.45">
      <c r="A11" s="127" t="s">
        <v>287</v>
      </c>
      <c r="B11" s="187" t="s">
        <v>136</v>
      </c>
      <c r="C11" s="129">
        <v>7.2919999999999998</v>
      </c>
      <c r="D11" s="130">
        <v>14108</v>
      </c>
      <c r="E11" s="131">
        <v>0.03</v>
      </c>
      <c r="F11" s="131">
        <v>7.0000000000000007E-2</v>
      </c>
      <c r="G11" s="3">
        <f t="shared" si="9"/>
        <v>0.9</v>
      </c>
      <c r="H11" s="129">
        <v>9.0679999999999996</v>
      </c>
      <c r="I11" s="132">
        <v>0.20699999999999999</v>
      </c>
      <c r="J11" s="133">
        <v>0.38800000000000001</v>
      </c>
      <c r="K11" s="167">
        <f t="shared" si="0"/>
        <v>3.7709999999999999</v>
      </c>
      <c r="L11" s="168">
        <f t="shared" si="1"/>
        <v>1.4631480000000001</v>
      </c>
      <c r="M11" s="7">
        <v>0.7</v>
      </c>
      <c r="N11" s="169">
        <f t="shared" si="2"/>
        <v>0.27160000000000001</v>
      </c>
      <c r="O11" s="133">
        <v>3.09</v>
      </c>
      <c r="P11" s="50">
        <f t="shared" si="3"/>
        <v>0.83924399999999999</v>
      </c>
      <c r="Q11" s="170">
        <f t="shared" si="4"/>
        <v>0.30000000000000004</v>
      </c>
      <c r="R11" s="171">
        <f t="shared" si="5"/>
        <v>0.11640000000000002</v>
      </c>
      <c r="S11" s="133">
        <v>5.36</v>
      </c>
      <c r="T11" s="172">
        <f t="shared" si="6"/>
        <v>0.62390400000000013</v>
      </c>
      <c r="Z11" s="134">
        <f t="shared" si="10"/>
        <v>14108</v>
      </c>
      <c r="AA11" s="134">
        <f t="shared" si="11"/>
        <v>423.24</v>
      </c>
      <c r="AB11" s="134">
        <f t="shared" si="12"/>
        <v>987.56000000000006</v>
      </c>
      <c r="AC11" s="134">
        <f t="shared" si="13"/>
        <v>12697.2</v>
      </c>
      <c r="AE11" s="22">
        <f t="shared" si="14"/>
        <v>14108</v>
      </c>
      <c r="AF11" s="22">
        <f t="shared" si="15"/>
        <v>423.24</v>
      </c>
      <c r="AG11" s="22">
        <f t="shared" si="16"/>
        <v>987.56000000000006</v>
      </c>
      <c r="AH11" s="22">
        <f t="shared" si="17"/>
        <v>12697.2</v>
      </c>
    </row>
    <row r="12" spans="1:36" x14ac:dyDescent="0.45">
      <c r="A12" s="127" t="s">
        <v>282</v>
      </c>
      <c r="B12" s="187" t="s">
        <v>136</v>
      </c>
      <c r="C12" s="129">
        <v>6.2009999999999996</v>
      </c>
      <c r="D12" s="130">
        <v>19116</v>
      </c>
      <c r="E12" s="131">
        <v>1.7999999999999999E-2</v>
      </c>
      <c r="F12" s="131">
        <v>7.0000000000000007E-2</v>
      </c>
      <c r="G12" s="3">
        <f t="shared" si="9"/>
        <v>0.91200000000000003</v>
      </c>
      <c r="H12" s="129">
        <v>8.1509999999999998</v>
      </c>
      <c r="I12" s="132">
        <v>0.1865</v>
      </c>
      <c r="J12" s="133">
        <v>0.34799999999999998</v>
      </c>
      <c r="K12" s="167">
        <f t="shared" si="0"/>
        <v>3.7709999999999999</v>
      </c>
      <c r="L12" s="168">
        <f t="shared" si="1"/>
        <v>1.3123079999999998</v>
      </c>
      <c r="M12" s="7">
        <v>0.7</v>
      </c>
      <c r="N12" s="169">
        <f t="shared" si="2"/>
        <v>0.24359999999999996</v>
      </c>
      <c r="O12" s="133">
        <v>3.09</v>
      </c>
      <c r="P12" s="50">
        <f t="shared" si="3"/>
        <v>0.75272399999999984</v>
      </c>
      <c r="Q12" s="170">
        <f t="shared" si="4"/>
        <v>0.30000000000000004</v>
      </c>
      <c r="R12" s="171">
        <f t="shared" si="5"/>
        <v>0.10440000000000001</v>
      </c>
      <c r="S12" s="133">
        <v>5.36</v>
      </c>
      <c r="T12" s="172">
        <f t="shared" si="6"/>
        <v>0.55958400000000008</v>
      </c>
      <c r="Z12" s="134">
        <f t="shared" si="10"/>
        <v>19116</v>
      </c>
      <c r="AA12" s="134">
        <f t="shared" si="11"/>
        <v>344.08799999999997</v>
      </c>
      <c r="AB12" s="134">
        <f t="shared" si="12"/>
        <v>1338.1200000000001</v>
      </c>
      <c r="AC12" s="134">
        <f t="shared" si="13"/>
        <v>17433.792000000001</v>
      </c>
      <c r="AE12" s="22">
        <f t="shared" si="14"/>
        <v>19116</v>
      </c>
      <c r="AF12" s="22">
        <f t="shared" si="15"/>
        <v>344.08799999999997</v>
      </c>
      <c r="AG12" s="22">
        <f t="shared" si="16"/>
        <v>1338.1200000000001</v>
      </c>
      <c r="AH12" s="22">
        <f t="shared" si="17"/>
        <v>17433.792000000001</v>
      </c>
    </row>
    <row r="13" spans="1:36" x14ac:dyDescent="0.45">
      <c r="A13" s="127" t="s">
        <v>281</v>
      </c>
      <c r="B13" s="187" t="s">
        <v>136</v>
      </c>
      <c r="C13" s="135">
        <v>5.9009999999999998</v>
      </c>
      <c r="D13" s="136">
        <v>12998</v>
      </c>
      <c r="E13" s="131">
        <v>0.03</v>
      </c>
      <c r="F13" s="131">
        <v>7.0000000000000007E-2</v>
      </c>
      <c r="G13" s="3">
        <f t="shared" si="9"/>
        <v>0.9</v>
      </c>
      <c r="H13" s="135">
        <v>6.9870000000000001</v>
      </c>
      <c r="I13" s="133">
        <v>0.1958</v>
      </c>
      <c r="J13" s="133">
        <v>0.29899999999999999</v>
      </c>
      <c r="K13" s="167">
        <f t="shared" si="0"/>
        <v>3.7709999999999999</v>
      </c>
      <c r="L13" s="168">
        <f t="shared" si="1"/>
        <v>1.127529</v>
      </c>
      <c r="M13" s="7">
        <v>0.7</v>
      </c>
      <c r="N13" s="169">
        <f t="shared" si="2"/>
        <v>0.20929999999999999</v>
      </c>
      <c r="O13" s="137">
        <v>3.09</v>
      </c>
      <c r="P13" s="50">
        <f t="shared" ref="P13" si="18">O13*N13</f>
        <v>0.6467369999999999</v>
      </c>
      <c r="Q13" s="170">
        <f t="shared" ref="Q13" si="19">1-M13</f>
        <v>0.30000000000000004</v>
      </c>
      <c r="R13" s="171">
        <f t="shared" ref="R13" si="20">Q13*J13</f>
        <v>8.9700000000000016E-2</v>
      </c>
      <c r="S13" s="137">
        <v>5.36</v>
      </c>
      <c r="T13" s="172">
        <f t="shared" si="6"/>
        <v>0.48079200000000011</v>
      </c>
      <c r="Z13" s="134">
        <f t="shared" si="10"/>
        <v>12998</v>
      </c>
      <c r="AA13" s="134">
        <f t="shared" si="11"/>
        <v>389.94</v>
      </c>
      <c r="AB13" s="134">
        <f t="shared" si="12"/>
        <v>909.86000000000013</v>
      </c>
      <c r="AC13" s="134">
        <f t="shared" si="13"/>
        <v>11698.2</v>
      </c>
      <c r="AE13" s="22">
        <f t="shared" si="14"/>
        <v>12998</v>
      </c>
      <c r="AF13" s="22">
        <f t="shared" si="15"/>
        <v>389.94</v>
      </c>
      <c r="AG13" s="22">
        <f t="shared" si="16"/>
        <v>909.86000000000013</v>
      </c>
      <c r="AH13" s="22">
        <f t="shared" si="17"/>
        <v>11698.2</v>
      </c>
    </row>
    <row r="14" spans="1:36" x14ac:dyDescent="0.45">
      <c r="A14" s="127" t="s">
        <v>288</v>
      </c>
      <c r="B14" s="187" t="s">
        <v>136</v>
      </c>
      <c r="C14" s="129">
        <v>5.5990000000000002</v>
      </c>
      <c r="D14" s="130">
        <v>23836</v>
      </c>
      <c r="E14" s="131">
        <v>0.01</v>
      </c>
      <c r="F14" s="131">
        <v>0.02</v>
      </c>
      <c r="G14" s="3">
        <f>1-(E14+F14)</f>
        <v>0.97</v>
      </c>
      <c r="H14" s="129">
        <v>6.9109999999999996</v>
      </c>
      <c r="I14" s="132">
        <v>0.15809999999999999</v>
      </c>
      <c r="J14" s="133">
        <v>0.29499999999999998</v>
      </c>
      <c r="K14" s="167">
        <f>(M14*O14)+(Q14*S14)</f>
        <v>3.7709999999999999</v>
      </c>
      <c r="L14" s="168">
        <f>K14*J14</f>
        <v>1.1124449999999999</v>
      </c>
      <c r="M14" s="7">
        <v>0.7</v>
      </c>
      <c r="N14" s="169">
        <f>J14*M14</f>
        <v>0.20649999999999999</v>
      </c>
      <c r="O14" s="133">
        <v>3.09</v>
      </c>
      <c r="P14" s="50">
        <f>O14*N14</f>
        <v>0.6380849999999999</v>
      </c>
      <c r="Q14" s="170">
        <f>1-M14</f>
        <v>0.30000000000000004</v>
      </c>
      <c r="R14" s="171">
        <f>Q14*J14</f>
        <v>8.8500000000000009E-2</v>
      </c>
      <c r="S14" s="133">
        <v>5.36</v>
      </c>
      <c r="T14" s="172">
        <f>S14*R14</f>
        <v>0.47436000000000006</v>
      </c>
      <c r="Z14" s="134">
        <f>$D14</f>
        <v>23836</v>
      </c>
      <c r="AA14" s="134">
        <f>$Z14*E14</f>
        <v>238.36</v>
      </c>
      <c r="AB14" s="134">
        <f>$Z14*F14</f>
        <v>476.72</v>
      </c>
      <c r="AC14" s="134">
        <f>$Z14*G14</f>
        <v>23120.92</v>
      </c>
      <c r="AE14" s="22">
        <f>IF($B14="x",Z14,0)</f>
        <v>23836</v>
      </c>
      <c r="AF14" s="22">
        <f>IF($B14="x",AA14,0)</f>
        <v>238.36</v>
      </c>
      <c r="AG14" s="22">
        <f>IF($B14="x",AB14,0)</f>
        <v>476.72</v>
      </c>
      <c r="AH14" s="22">
        <f>IF($B14="x",AC14,0)</f>
        <v>23120.92</v>
      </c>
    </row>
    <row r="15" spans="1:36" x14ac:dyDescent="0.45">
      <c r="A15" s="127" t="s">
        <v>279</v>
      </c>
      <c r="B15" s="187" t="s">
        <v>136</v>
      </c>
      <c r="C15" s="129">
        <v>5.48</v>
      </c>
      <c r="D15" s="130">
        <v>15405</v>
      </c>
      <c r="E15" s="131">
        <v>1.7999999999999999E-2</v>
      </c>
      <c r="F15" s="131">
        <v>7.0000000000000007E-2</v>
      </c>
      <c r="G15" s="3">
        <f t="shared" si="9"/>
        <v>0.91200000000000003</v>
      </c>
      <c r="H15" s="129">
        <v>6.194</v>
      </c>
      <c r="I15" s="132">
        <v>0.14199999999999999</v>
      </c>
      <c r="J15" s="133">
        <v>0.26500000000000001</v>
      </c>
      <c r="K15" s="167">
        <f t="shared" si="0"/>
        <v>3.7709999999999999</v>
      </c>
      <c r="L15" s="168">
        <f t="shared" si="1"/>
        <v>0.99931500000000006</v>
      </c>
      <c r="M15" s="7">
        <v>0.7</v>
      </c>
      <c r="N15" s="169">
        <f t="shared" si="2"/>
        <v>0.1855</v>
      </c>
      <c r="O15" s="133">
        <v>3.09</v>
      </c>
      <c r="P15" s="50">
        <f t="shared" si="3"/>
        <v>0.57319500000000001</v>
      </c>
      <c r="Q15" s="170">
        <f t="shared" si="4"/>
        <v>0.30000000000000004</v>
      </c>
      <c r="R15" s="171">
        <f t="shared" si="5"/>
        <v>7.9500000000000015E-2</v>
      </c>
      <c r="S15" s="133">
        <v>5.36</v>
      </c>
      <c r="T15" s="172">
        <f t="shared" si="6"/>
        <v>0.42612000000000011</v>
      </c>
      <c r="Z15" s="134">
        <f t="shared" si="10"/>
        <v>15405</v>
      </c>
      <c r="AA15" s="134">
        <f t="shared" si="11"/>
        <v>277.28999999999996</v>
      </c>
      <c r="AB15" s="134">
        <f t="shared" si="12"/>
        <v>1078.3500000000001</v>
      </c>
      <c r="AC15" s="134">
        <f t="shared" si="13"/>
        <v>14049.36</v>
      </c>
      <c r="AE15" s="22">
        <f t="shared" si="14"/>
        <v>15405</v>
      </c>
      <c r="AF15" s="22">
        <f t="shared" si="15"/>
        <v>277.28999999999996</v>
      </c>
      <c r="AG15" s="22">
        <f t="shared" si="16"/>
        <v>1078.3500000000001</v>
      </c>
      <c r="AH15" s="22">
        <f t="shared" si="17"/>
        <v>14049.36</v>
      </c>
    </row>
    <row r="16" spans="1:36" x14ac:dyDescent="0.45">
      <c r="A16" s="127" t="s">
        <v>280</v>
      </c>
      <c r="B16" s="187" t="s">
        <v>136</v>
      </c>
      <c r="C16" s="129">
        <v>4.8040000000000003</v>
      </c>
      <c r="D16" s="130">
        <v>15625</v>
      </c>
      <c r="E16" s="131">
        <v>1.7999999999999999E-2</v>
      </c>
      <c r="F16" s="131">
        <v>7.0000000000000007E-2</v>
      </c>
      <c r="G16" s="3">
        <f t="shared" si="9"/>
        <v>0.91200000000000003</v>
      </c>
      <c r="H16" s="129">
        <v>5.4489999999999998</v>
      </c>
      <c r="I16" s="132">
        <v>0.125</v>
      </c>
      <c r="J16" s="133">
        <v>0.23300000000000001</v>
      </c>
      <c r="K16" s="167">
        <f t="shared" si="0"/>
        <v>3.7709999999999999</v>
      </c>
      <c r="L16" s="168">
        <f t="shared" si="1"/>
        <v>0.87864300000000006</v>
      </c>
      <c r="M16" s="7">
        <v>0.7</v>
      </c>
      <c r="N16" s="169">
        <f t="shared" si="2"/>
        <v>0.16309999999999999</v>
      </c>
      <c r="O16" s="133">
        <v>3.09</v>
      </c>
      <c r="P16" s="50">
        <f t="shared" si="3"/>
        <v>0.50397899999999995</v>
      </c>
      <c r="Q16" s="170">
        <f t="shared" si="4"/>
        <v>0.30000000000000004</v>
      </c>
      <c r="R16" s="171">
        <f t="shared" si="5"/>
        <v>6.9900000000000018E-2</v>
      </c>
      <c r="S16" s="133">
        <v>5.36</v>
      </c>
      <c r="T16" s="172">
        <f t="shared" si="6"/>
        <v>0.37466400000000011</v>
      </c>
      <c r="Z16" s="134">
        <f t="shared" si="10"/>
        <v>15625</v>
      </c>
      <c r="AA16" s="134">
        <f t="shared" si="11"/>
        <v>281.25</v>
      </c>
      <c r="AB16" s="134">
        <f t="shared" si="12"/>
        <v>1093.75</v>
      </c>
      <c r="AC16" s="134">
        <f t="shared" si="13"/>
        <v>14250</v>
      </c>
      <c r="AE16" s="22">
        <f t="shared" si="14"/>
        <v>15625</v>
      </c>
      <c r="AF16" s="22">
        <f t="shared" si="15"/>
        <v>281.25</v>
      </c>
      <c r="AG16" s="22">
        <f t="shared" si="16"/>
        <v>1093.75</v>
      </c>
      <c r="AH16" s="22">
        <f t="shared" si="17"/>
        <v>14250</v>
      </c>
    </row>
    <row r="17" spans="1:34" x14ac:dyDescent="0.45">
      <c r="A17" s="127" t="s">
        <v>278</v>
      </c>
      <c r="B17" s="187" t="s">
        <v>136</v>
      </c>
      <c r="C17" s="129">
        <v>2.6579999999999999</v>
      </c>
      <c r="D17" s="130">
        <v>8579</v>
      </c>
      <c r="E17" s="131">
        <v>0.03</v>
      </c>
      <c r="F17" s="131">
        <v>7.0000000000000007E-2</v>
      </c>
      <c r="G17" s="3">
        <f t="shared" si="9"/>
        <v>0.9</v>
      </c>
      <c r="H17" s="129">
        <v>2.738</v>
      </c>
      <c r="I17" s="132">
        <v>6.2700000000000006E-2</v>
      </c>
      <c r="J17" s="133">
        <v>0.11700000000000001</v>
      </c>
      <c r="K17" s="167">
        <f t="shared" si="0"/>
        <v>3.7709999999999999</v>
      </c>
      <c r="L17" s="168">
        <f t="shared" si="1"/>
        <v>0.44120700000000002</v>
      </c>
      <c r="M17" s="7">
        <v>0.7</v>
      </c>
      <c r="N17" s="169">
        <f t="shared" si="2"/>
        <v>8.1900000000000001E-2</v>
      </c>
      <c r="O17" s="133">
        <v>3.09</v>
      </c>
      <c r="P17" s="50">
        <f t="shared" si="3"/>
        <v>0.25307099999999999</v>
      </c>
      <c r="Q17" s="170">
        <f t="shared" si="4"/>
        <v>0.30000000000000004</v>
      </c>
      <c r="R17" s="171">
        <f t="shared" si="5"/>
        <v>3.5100000000000006E-2</v>
      </c>
      <c r="S17" s="133">
        <v>5.36</v>
      </c>
      <c r="T17" s="172">
        <f t="shared" si="6"/>
        <v>0.18813600000000005</v>
      </c>
      <c r="Z17" s="134">
        <f t="shared" si="10"/>
        <v>8579</v>
      </c>
      <c r="AA17" s="134">
        <f t="shared" si="11"/>
        <v>257.37</v>
      </c>
      <c r="AB17" s="134">
        <f t="shared" si="12"/>
        <v>600.53000000000009</v>
      </c>
      <c r="AC17" s="134">
        <f t="shared" si="13"/>
        <v>7721.1</v>
      </c>
      <c r="AE17" s="22">
        <f t="shared" si="14"/>
        <v>8579</v>
      </c>
      <c r="AF17" s="22">
        <f t="shared" si="15"/>
        <v>257.37</v>
      </c>
      <c r="AG17" s="22">
        <f t="shared" si="16"/>
        <v>600.53000000000009</v>
      </c>
      <c r="AH17" s="22">
        <f t="shared" si="17"/>
        <v>7721.1</v>
      </c>
    </row>
    <row r="18" spans="1:34" x14ac:dyDescent="0.45">
      <c r="A18" s="127" t="s">
        <v>284</v>
      </c>
      <c r="B18" s="187" t="s">
        <v>136</v>
      </c>
      <c r="C18" s="129">
        <v>5.4379999999999997</v>
      </c>
      <c r="D18" s="130">
        <v>78772</v>
      </c>
      <c r="E18" s="131">
        <v>5.0000000000000001E-3</v>
      </c>
      <c r="F18" s="131">
        <v>5.0000000000000001E-3</v>
      </c>
      <c r="G18" s="3">
        <f t="shared" si="9"/>
        <v>0.99</v>
      </c>
      <c r="H18" s="129">
        <v>7.0510000000000002</v>
      </c>
      <c r="I18" s="132">
        <v>0.1613</v>
      </c>
      <c r="J18" s="133">
        <v>0.30099999999999999</v>
      </c>
      <c r="K18" s="167">
        <f t="shared" si="0"/>
        <v>3.7709999999999999</v>
      </c>
      <c r="L18" s="168">
        <f t="shared" si="1"/>
        <v>1.1350709999999999</v>
      </c>
      <c r="M18" s="7">
        <v>0.7</v>
      </c>
      <c r="N18" s="169">
        <f t="shared" si="2"/>
        <v>0.21069999999999997</v>
      </c>
      <c r="O18" s="133">
        <v>3.09</v>
      </c>
      <c r="P18" s="50">
        <f t="shared" si="3"/>
        <v>0.65106299999999984</v>
      </c>
      <c r="Q18" s="170">
        <f t="shared" si="4"/>
        <v>0.30000000000000004</v>
      </c>
      <c r="R18" s="171">
        <f t="shared" si="5"/>
        <v>9.0300000000000005E-2</v>
      </c>
      <c r="S18" s="133">
        <v>5.36</v>
      </c>
      <c r="T18" s="172">
        <f t="shared" si="6"/>
        <v>0.48400800000000005</v>
      </c>
      <c r="Z18" s="134">
        <f t="shared" si="10"/>
        <v>78772</v>
      </c>
      <c r="AA18" s="134">
        <f t="shared" si="11"/>
        <v>393.86</v>
      </c>
      <c r="AB18" s="134">
        <f t="shared" si="12"/>
        <v>393.86</v>
      </c>
      <c r="AC18" s="134">
        <f t="shared" si="13"/>
        <v>77984.28</v>
      </c>
      <c r="AE18" s="22">
        <f t="shared" si="14"/>
        <v>78772</v>
      </c>
      <c r="AF18" s="22">
        <f t="shared" si="15"/>
        <v>393.86</v>
      </c>
      <c r="AG18" s="22">
        <f t="shared" si="16"/>
        <v>393.86</v>
      </c>
      <c r="AH18" s="22">
        <f t="shared" si="17"/>
        <v>77984.28</v>
      </c>
    </row>
    <row r="19" spans="1:34" x14ac:dyDescent="0.45">
      <c r="A19" s="127" t="s">
        <v>283</v>
      </c>
      <c r="B19" s="187" t="s">
        <v>136</v>
      </c>
      <c r="C19" s="129">
        <v>3.1389999999999998</v>
      </c>
      <c r="D19" s="130">
        <v>20779</v>
      </c>
      <c r="E19" s="131">
        <v>5.0000000000000001E-3</v>
      </c>
      <c r="F19" s="131">
        <v>5.0000000000000001E-3</v>
      </c>
      <c r="G19" s="3">
        <f t="shared" si="9"/>
        <v>0.99</v>
      </c>
      <c r="H19" s="129">
        <v>3.2749999999999999</v>
      </c>
      <c r="I19" s="132">
        <v>7.4999999999999997E-2</v>
      </c>
      <c r="J19" s="133">
        <v>0.14000000000000001</v>
      </c>
      <c r="K19" s="167">
        <f t="shared" si="0"/>
        <v>3.7709999999999999</v>
      </c>
      <c r="L19" s="168">
        <f t="shared" si="1"/>
        <v>0.52794000000000008</v>
      </c>
      <c r="M19" s="7">
        <v>0.7</v>
      </c>
      <c r="N19" s="169">
        <f t="shared" si="2"/>
        <v>9.8000000000000004E-2</v>
      </c>
      <c r="O19" s="133">
        <v>3.09</v>
      </c>
      <c r="P19" s="50">
        <f t="shared" si="3"/>
        <v>0.30281999999999998</v>
      </c>
      <c r="Q19" s="170">
        <f t="shared" si="4"/>
        <v>0.30000000000000004</v>
      </c>
      <c r="R19" s="171">
        <f t="shared" si="5"/>
        <v>4.200000000000001E-2</v>
      </c>
      <c r="S19" s="133">
        <v>5.36</v>
      </c>
      <c r="T19" s="172">
        <f t="shared" si="6"/>
        <v>0.22512000000000007</v>
      </c>
      <c r="Z19" s="134">
        <f t="shared" si="10"/>
        <v>20779</v>
      </c>
      <c r="AA19" s="134">
        <f t="shared" si="11"/>
        <v>103.895</v>
      </c>
      <c r="AB19" s="134">
        <f t="shared" si="12"/>
        <v>103.895</v>
      </c>
      <c r="AC19" s="134">
        <f t="shared" si="13"/>
        <v>20571.21</v>
      </c>
      <c r="AE19" s="22">
        <f t="shared" si="14"/>
        <v>20779</v>
      </c>
      <c r="AF19" s="22">
        <f t="shared" si="15"/>
        <v>103.895</v>
      </c>
      <c r="AG19" s="22">
        <f t="shared" si="16"/>
        <v>103.895</v>
      </c>
      <c r="AH19" s="22">
        <f t="shared" si="17"/>
        <v>20571.21</v>
      </c>
    </row>
    <row r="20" spans="1:34" x14ac:dyDescent="0.45">
      <c r="A20" s="127" t="s">
        <v>285</v>
      </c>
      <c r="B20" s="187" t="s">
        <v>136</v>
      </c>
      <c r="C20" s="129">
        <v>1.8819999999999999</v>
      </c>
      <c r="D20" s="130">
        <v>14160</v>
      </c>
      <c r="E20" s="131">
        <v>0.01</v>
      </c>
      <c r="F20" s="131">
        <v>0.05</v>
      </c>
      <c r="G20" s="3">
        <f t="shared" si="9"/>
        <v>0.94</v>
      </c>
      <c r="H20" s="129">
        <v>2.137</v>
      </c>
      <c r="I20" s="132">
        <v>4.9000000000000002E-2</v>
      </c>
      <c r="J20" s="133">
        <v>9.0999999999999998E-2</v>
      </c>
      <c r="K20" s="167">
        <f t="shared" si="0"/>
        <v>3.7709999999999999</v>
      </c>
      <c r="L20" s="168">
        <f t="shared" si="1"/>
        <v>0.34316099999999999</v>
      </c>
      <c r="M20" s="7">
        <v>0.7</v>
      </c>
      <c r="N20" s="169">
        <f t="shared" si="2"/>
        <v>6.3699999999999993E-2</v>
      </c>
      <c r="O20" s="133">
        <v>3.09</v>
      </c>
      <c r="P20" s="50">
        <f t="shared" si="3"/>
        <v>0.19683299999999998</v>
      </c>
      <c r="Q20" s="170">
        <f t="shared" si="4"/>
        <v>0.30000000000000004</v>
      </c>
      <c r="R20" s="171">
        <f t="shared" si="5"/>
        <v>2.7300000000000005E-2</v>
      </c>
      <c r="S20" s="133">
        <v>5.36</v>
      </c>
      <c r="T20" s="172">
        <f t="shared" si="6"/>
        <v>0.14632800000000004</v>
      </c>
      <c r="Z20" s="134">
        <f t="shared" si="10"/>
        <v>14160</v>
      </c>
      <c r="AA20" s="134">
        <f t="shared" si="11"/>
        <v>141.6</v>
      </c>
      <c r="AB20" s="134">
        <f t="shared" si="12"/>
        <v>708</v>
      </c>
      <c r="AC20" s="134">
        <f t="shared" si="13"/>
        <v>13310.4</v>
      </c>
      <c r="AE20" s="22">
        <f t="shared" si="14"/>
        <v>14160</v>
      </c>
      <c r="AF20" s="22">
        <f t="shared" si="15"/>
        <v>141.6</v>
      </c>
      <c r="AG20" s="22">
        <f t="shared" si="16"/>
        <v>708</v>
      </c>
      <c r="AH20" s="22">
        <f t="shared" si="17"/>
        <v>13310.4</v>
      </c>
    </row>
    <row r="21" spans="1:34" x14ac:dyDescent="0.45">
      <c r="A21" s="127" t="s">
        <v>275</v>
      </c>
      <c r="B21" s="128"/>
      <c r="C21" s="129"/>
      <c r="D21" s="130"/>
      <c r="E21" s="131"/>
      <c r="F21" s="131"/>
      <c r="G21" s="3">
        <f t="shared" si="9"/>
        <v>1</v>
      </c>
      <c r="H21" s="129"/>
      <c r="I21" s="132"/>
      <c r="J21" s="133"/>
      <c r="K21" s="167">
        <f t="shared" si="0"/>
        <v>0</v>
      </c>
      <c r="L21" s="168">
        <f t="shared" si="1"/>
        <v>0</v>
      </c>
      <c r="M21" s="7"/>
      <c r="N21" s="169">
        <f t="shared" si="2"/>
        <v>0</v>
      </c>
      <c r="O21" s="133"/>
      <c r="P21" s="50">
        <f t="shared" si="3"/>
        <v>0</v>
      </c>
      <c r="Q21" s="170">
        <f t="shared" si="4"/>
        <v>1</v>
      </c>
      <c r="R21" s="171">
        <f t="shared" si="5"/>
        <v>0</v>
      </c>
      <c r="S21" s="133"/>
      <c r="T21" s="172">
        <f t="shared" si="6"/>
        <v>0</v>
      </c>
      <c r="Z21" s="134">
        <f t="shared" si="10"/>
        <v>0</v>
      </c>
      <c r="AA21" s="134">
        <f t="shared" si="11"/>
        <v>0</v>
      </c>
      <c r="AB21" s="134">
        <f t="shared" si="12"/>
        <v>0</v>
      </c>
      <c r="AC21" s="134">
        <f t="shared" si="13"/>
        <v>0</v>
      </c>
      <c r="AE21" s="22">
        <f t="shared" si="14"/>
        <v>0</v>
      </c>
      <c r="AF21" s="22">
        <f t="shared" si="15"/>
        <v>0</v>
      </c>
      <c r="AG21" s="22">
        <f t="shared" si="16"/>
        <v>0</v>
      </c>
      <c r="AH21" s="22">
        <f t="shared" si="17"/>
        <v>0</v>
      </c>
    </row>
    <row r="22" spans="1:34" ht="14.65" thickBot="1" x14ac:dyDescent="0.5">
      <c r="A22" s="232" t="s">
        <v>275</v>
      </c>
      <c r="B22" s="233"/>
      <c r="C22" s="234"/>
      <c r="D22" s="235"/>
      <c r="E22" s="236"/>
      <c r="F22" s="236"/>
      <c r="G22" s="237">
        <f t="shared" si="9"/>
        <v>1</v>
      </c>
      <c r="H22" s="234"/>
      <c r="I22" s="238"/>
      <c r="J22" s="239"/>
      <c r="K22" s="240">
        <f t="shared" si="0"/>
        <v>0</v>
      </c>
      <c r="L22" s="241">
        <f t="shared" si="1"/>
        <v>0</v>
      </c>
      <c r="M22" s="242"/>
      <c r="N22" s="243">
        <f t="shared" si="2"/>
        <v>0</v>
      </c>
      <c r="O22" s="239"/>
      <c r="P22" s="244">
        <f t="shared" si="3"/>
        <v>0</v>
      </c>
      <c r="Q22" s="245">
        <f t="shared" si="4"/>
        <v>1</v>
      </c>
      <c r="R22" s="246">
        <f t="shared" si="5"/>
        <v>0</v>
      </c>
      <c r="S22" s="239"/>
      <c r="T22" s="247">
        <f t="shared" si="6"/>
        <v>0</v>
      </c>
      <c r="Z22" s="134">
        <f t="shared" si="10"/>
        <v>0</v>
      </c>
      <c r="AA22" s="134">
        <f t="shared" si="11"/>
        <v>0</v>
      </c>
      <c r="AB22" s="134">
        <f t="shared" si="12"/>
        <v>0</v>
      </c>
      <c r="AC22" s="134">
        <f t="shared" si="13"/>
        <v>0</v>
      </c>
      <c r="AE22" s="22">
        <f t="shared" ref="AE22" si="21">IF($B22="x",Z22,0)</f>
        <v>0</v>
      </c>
      <c r="AF22" s="22">
        <f t="shared" ref="AF22" si="22">IF($B22="x",AA22,0)</f>
        <v>0</v>
      </c>
      <c r="AG22" s="22">
        <f t="shared" ref="AG22" si="23">IF($B22="x",AB22,0)</f>
        <v>0</v>
      </c>
      <c r="AH22" s="22">
        <f t="shared" ref="AH22" si="24">IF($B22="x",AC22,0)</f>
        <v>0</v>
      </c>
    </row>
    <row r="23" spans="1:34" s="138" customFormat="1" ht="14.25" customHeight="1" thickBot="1" x14ac:dyDescent="0.5">
      <c r="A23" s="209" t="s">
        <v>175</v>
      </c>
      <c r="B23" s="210"/>
      <c r="C23" s="211">
        <f>SUMIF($B$7:$B$22, "x", C$7:C$22)</f>
        <v>66.780531900000014</v>
      </c>
      <c r="D23" s="212">
        <f>SUMIF($B$7:$B$22, "x", D$7:D$22)</f>
        <v>244023</v>
      </c>
      <c r="E23" s="213">
        <f>AF23/$AE23</f>
        <v>2.0554796064305412E-2</v>
      </c>
      <c r="F23" s="213">
        <f>AG23/$AE23</f>
        <v>3.8172651758235907E-2</v>
      </c>
      <c r="G23" s="213">
        <f>AH23/$AE23</f>
        <v>0.94127255217745864</v>
      </c>
      <c r="H23" s="211">
        <f>SUMIF($B$7:$B$22, "x", H$7:H$22)</f>
        <v>92.338999999999999</v>
      </c>
      <c r="I23" s="214">
        <f>SUMIF($B$7:$B$22, "x", I$7:I$22)</f>
        <v>2.1603999999999997</v>
      </c>
      <c r="J23" s="214">
        <f>SUMIF($B$7:$B$22, "x", J$7:J$22)</f>
        <v>3.9690000000000003</v>
      </c>
      <c r="K23" s="215">
        <f t="shared" si="0"/>
        <v>3.7710000000000012</v>
      </c>
      <c r="L23" s="211">
        <f>SUMIF($B$7:$B$22, "x", L$7:L$22)</f>
        <v>14.967098999999999</v>
      </c>
      <c r="M23" s="216">
        <f>N23/J23</f>
        <v>0.69999999999999984</v>
      </c>
      <c r="N23" s="214">
        <f>SUMIF($B$7:$B$22, "x", N$7:N$22)</f>
        <v>2.7782999999999998</v>
      </c>
      <c r="O23" s="217">
        <f>P23/N23</f>
        <v>3.0900000000000007</v>
      </c>
      <c r="P23" s="211">
        <f>SUMIF($B$7:$B$22, "x", P$7:P$22)</f>
        <v>8.5849470000000014</v>
      </c>
      <c r="Q23" s="218">
        <f>1-M23</f>
        <v>0.30000000000000016</v>
      </c>
      <c r="R23" s="214">
        <f>SUMIF($B$7:$B$22, "x", R$7:R$22)</f>
        <v>1.1907000000000003</v>
      </c>
      <c r="S23" s="217">
        <f>T23/R23</f>
        <v>5.36</v>
      </c>
      <c r="T23" s="219">
        <f>SUMIF($B$7:$B$22, "x", T$7:T$22)</f>
        <v>6.3821520000000023</v>
      </c>
      <c r="Z23" s="134">
        <f>SUM(Z7:Z22)</f>
        <v>244023</v>
      </c>
      <c r="AA23" s="134">
        <f>SUM(AA7:AA22)</f>
        <v>5015.8429999999998</v>
      </c>
      <c r="AB23" s="134">
        <f>SUM(AB7:AB22)</f>
        <v>9315.005000000001</v>
      </c>
      <c r="AC23" s="134">
        <f>SUM(AC7:AC22)</f>
        <v>229692.152</v>
      </c>
      <c r="AD23" s="22"/>
      <c r="AE23" s="134">
        <f>SUM(AE7:AE22)</f>
        <v>244023</v>
      </c>
      <c r="AF23" s="134">
        <f>SUM(AF7:AF22)</f>
        <v>5015.8429999999998</v>
      </c>
      <c r="AG23" s="134">
        <f>SUM(AG7:AG22)</f>
        <v>9315.005000000001</v>
      </c>
      <c r="AH23" s="134">
        <f>SUM(AH7:AH22)</f>
        <v>229692.152</v>
      </c>
    </row>
    <row r="24" spans="1:34" ht="14.65" thickBot="1" x14ac:dyDescent="0.5">
      <c r="A24" s="139" t="s">
        <v>457</v>
      </c>
      <c r="B24" s="140"/>
      <c r="C24" s="141"/>
      <c r="D24" s="142"/>
      <c r="E24" s="143">
        <v>0.5</v>
      </c>
      <c r="F24" s="143">
        <v>0.34</v>
      </c>
      <c r="G24" s="4">
        <f>1-E24-F24</f>
        <v>0.15999999999999998</v>
      </c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4"/>
      <c r="AF24" s="145">
        <f>AF23/$AE$23</f>
        <v>2.0554796064305412E-2</v>
      </c>
      <c r="AG24" s="145">
        <f t="shared" ref="AG24:AH24" si="25">AG23/$AE$23</f>
        <v>3.8172651758235907E-2</v>
      </c>
      <c r="AH24" s="145">
        <f t="shared" si="25"/>
        <v>0.94127255217745864</v>
      </c>
    </row>
    <row r="26" spans="1:34" x14ac:dyDescent="0.45">
      <c r="A26" s="146"/>
      <c r="B26" s="146"/>
      <c r="C26" s="116"/>
    </row>
    <row r="27" spans="1:34" x14ac:dyDescent="0.45">
      <c r="B27" s="147"/>
    </row>
    <row r="28" spans="1:34" x14ac:dyDescent="0.45">
      <c r="A28" s="148"/>
      <c r="B28" s="149"/>
      <c r="C28" s="149"/>
      <c r="D28" s="149"/>
      <c r="E28" s="149"/>
      <c r="F28" s="149"/>
      <c r="G28" s="149"/>
      <c r="J28" s="150"/>
      <c r="K28" s="150"/>
      <c r="L28" s="150"/>
      <c r="M28" s="151"/>
      <c r="O28" s="152"/>
      <c r="P28" s="152"/>
      <c r="Q28" s="152"/>
      <c r="R28" s="152"/>
      <c r="S28" s="152"/>
      <c r="T28" s="153"/>
      <c r="U28" s="153"/>
      <c r="V28" s="153"/>
      <c r="W28" s="153"/>
      <c r="X28" s="153"/>
    </row>
    <row r="29" spans="1:34" x14ac:dyDescent="0.45">
      <c r="A29" s="178"/>
      <c r="B29" s="179"/>
      <c r="C29" s="179"/>
      <c r="D29" s="180"/>
      <c r="E29" s="180"/>
      <c r="F29" s="180"/>
      <c r="I29" s="173"/>
      <c r="K29" s="150"/>
      <c r="L29" s="150"/>
      <c r="M29" s="151"/>
      <c r="O29" s="152"/>
      <c r="P29" s="152"/>
      <c r="Q29" s="152"/>
      <c r="R29" s="152"/>
      <c r="S29" s="152"/>
      <c r="T29" s="153"/>
      <c r="U29" s="153"/>
      <c r="V29" s="153"/>
      <c r="W29" s="153"/>
      <c r="X29" s="153"/>
    </row>
    <row r="30" spans="1:34" x14ac:dyDescent="0.45">
      <c r="A30" s="181"/>
      <c r="B30" s="175"/>
      <c r="C30" s="182"/>
      <c r="D30" s="182"/>
      <c r="E30" s="175"/>
      <c r="F30" s="183"/>
      <c r="I30" s="174"/>
      <c r="K30" s="150"/>
      <c r="L30" s="150"/>
      <c r="M30" s="151"/>
      <c r="O30" s="152"/>
      <c r="P30" s="152"/>
      <c r="Q30" s="152"/>
      <c r="R30" s="152"/>
      <c r="S30" s="152"/>
      <c r="T30" s="153"/>
      <c r="U30" s="153"/>
      <c r="V30" s="153"/>
      <c r="W30" s="153"/>
      <c r="X30" s="153"/>
    </row>
    <row r="31" spans="1:34" x14ac:dyDescent="0.45">
      <c r="A31" s="181"/>
      <c r="B31" s="175"/>
      <c r="C31" s="176"/>
      <c r="D31" s="176"/>
      <c r="E31" s="175"/>
      <c r="F31" s="183"/>
      <c r="I31" s="174"/>
      <c r="K31" s="150"/>
      <c r="L31" s="150"/>
      <c r="M31" s="151"/>
      <c r="O31" s="152"/>
      <c r="P31" s="152"/>
      <c r="Q31" s="152"/>
      <c r="R31" s="152"/>
      <c r="S31" s="152"/>
      <c r="T31" s="153"/>
      <c r="U31" s="153"/>
      <c r="V31" s="153"/>
      <c r="W31" s="153"/>
      <c r="X31" s="153"/>
    </row>
    <row r="32" spans="1:34" x14ac:dyDescent="0.45">
      <c r="A32" s="181"/>
      <c r="B32" s="175"/>
      <c r="C32" s="182"/>
      <c r="D32" s="182"/>
      <c r="E32" s="175"/>
      <c r="F32" s="183"/>
      <c r="I32" s="174"/>
      <c r="K32" s="150"/>
      <c r="L32" s="150"/>
      <c r="M32" s="151"/>
      <c r="O32" s="152"/>
      <c r="P32" s="152"/>
      <c r="Q32" s="152"/>
      <c r="R32" s="152"/>
      <c r="S32" s="152"/>
      <c r="T32" s="153"/>
      <c r="U32" s="153"/>
      <c r="V32" s="153"/>
      <c r="W32" s="153"/>
      <c r="X32" s="153"/>
    </row>
    <row r="33" spans="1:24" x14ac:dyDescent="0.45">
      <c r="A33" s="181"/>
      <c r="B33" s="175"/>
      <c r="C33" s="182"/>
      <c r="D33" s="182"/>
      <c r="E33" s="175"/>
      <c r="F33" s="183"/>
      <c r="I33" s="174"/>
      <c r="K33" s="150"/>
      <c r="L33" s="150"/>
      <c r="M33" s="151"/>
      <c r="O33" s="152"/>
      <c r="P33" s="152"/>
      <c r="Q33" s="152"/>
      <c r="R33" s="152"/>
      <c r="S33" s="152"/>
      <c r="T33" s="153"/>
      <c r="U33" s="153"/>
      <c r="V33" s="153"/>
      <c r="W33" s="153"/>
      <c r="X33" s="153"/>
    </row>
    <row r="34" spans="1:24" x14ac:dyDescent="0.45">
      <c r="A34" s="184"/>
      <c r="B34" s="175"/>
      <c r="C34" s="182"/>
      <c r="D34" s="182"/>
      <c r="E34" s="175"/>
      <c r="F34" s="183"/>
      <c r="I34" s="174"/>
      <c r="K34" s="150"/>
      <c r="L34" s="150"/>
      <c r="M34" s="151"/>
      <c r="O34" s="152"/>
      <c r="P34" s="152"/>
      <c r="Q34" s="152"/>
      <c r="R34" s="152"/>
      <c r="S34" s="152"/>
      <c r="T34" s="153"/>
      <c r="U34" s="153"/>
      <c r="V34" s="153"/>
      <c r="W34" s="153"/>
      <c r="X34" s="153"/>
    </row>
    <row r="35" spans="1:24" x14ac:dyDescent="0.45">
      <c r="A35" s="184"/>
      <c r="B35" s="175"/>
      <c r="C35" s="182"/>
      <c r="D35" s="182"/>
      <c r="E35" s="175"/>
      <c r="F35" s="183"/>
      <c r="I35" s="174"/>
      <c r="K35" s="150"/>
      <c r="L35" s="150"/>
      <c r="M35" s="151"/>
      <c r="O35" s="152"/>
      <c r="P35" s="152"/>
      <c r="Q35" s="152"/>
      <c r="R35" s="152"/>
      <c r="S35" s="152"/>
      <c r="T35" s="153"/>
      <c r="U35" s="153"/>
      <c r="V35" s="153"/>
      <c r="W35" s="153"/>
      <c r="X35" s="153"/>
    </row>
    <row r="36" spans="1:24" x14ac:dyDescent="0.45">
      <c r="A36" s="185"/>
      <c r="B36" s="175"/>
      <c r="C36" s="182"/>
      <c r="D36" s="182"/>
      <c r="E36" s="175"/>
      <c r="F36" s="183"/>
      <c r="I36" s="174"/>
      <c r="K36" s="150"/>
      <c r="L36" s="150"/>
      <c r="M36" s="151"/>
      <c r="O36" s="152"/>
      <c r="P36" s="152"/>
      <c r="Q36" s="152"/>
      <c r="R36" s="152"/>
      <c r="S36" s="152"/>
      <c r="T36" s="153"/>
      <c r="U36" s="153"/>
      <c r="V36" s="153"/>
      <c r="W36" s="153"/>
      <c r="X36" s="153"/>
    </row>
    <row r="37" spans="1:24" x14ac:dyDescent="0.45">
      <c r="A37" s="184"/>
      <c r="B37" s="175"/>
      <c r="C37" s="182"/>
      <c r="D37" s="182"/>
      <c r="E37" s="175"/>
      <c r="F37" s="183"/>
      <c r="I37" s="174"/>
      <c r="K37" s="150"/>
      <c r="L37" s="150"/>
      <c r="M37" s="151"/>
      <c r="T37" s="23"/>
      <c r="U37" s="23"/>
      <c r="V37" s="23"/>
      <c r="W37" s="23"/>
      <c r="X37" s="23"/>
    </row>
    <row r="38" spans="1:24" x14ac:dyDescent="0.45">
      <c r="A38" s="184"/>
      <c r="B38" s="175"/>
      <c r="C38" s="182"/>
      <c r="D38" s="182"/>
      <c r="E38" s="175"/>
      <c r="F38" s="183"/>
      <c r="I38" s="174"/>
      <c r="K38" s="150"/>
      <c r="L38" s="150"/>
      <c r="M38" s="151"/>
      <c r="T38" s="23"/>
      <c r="U38" s="23"/>
      <c r="V38" s="23"/>
      <c r="W38" s="23"/>
      <c r="X38" s="23"/>
    </row>
    <row r="39" spans="1:24" x14ac:dyDescent="0.45">
      <c r="A39" s="184"/>
      <c r="B39" s="175"/>
      <c r="C39" s="182"/>
      <c r="D39" s="182"/>
      <c r="E39" s="175"/>
      <c r="F39" s="183"/>
      <c r="I39" s="174"/>
      <c r="K39" s="150"/>
      <c r="L39" s="150"/>
      <c r="M39" s="151"/>
      <c r="T39" s="23"/>
      <c r="U39" s="23"/>
      <c r="V39" s="23"/>
      <c r="W39" s="23"/>
      <c r="X39" s="23"/>
    </row>
    <row r="40" spans="1:24" x14ac:dyDescent="0.45">
      <c r="A40" s="184"/>
      <c r="B40" s="175"/>
      <c r="C40" s="182"/>
      <c r="D40" s="182"/>
      <c r="E40" s="175"/>
      <c r="F40" s="183"/>
      <c r="I40" s="175"/>
      <c r="K40" s="150"/>
      <c r="L40" s="150"/>
      <c r="M40" s="151"/>
      <c r="T40" s="23"/>
      <c r="U40" s="23"/>
      <c r="V40" s="23"/>
      <c r="W40" s="23"/>
      <c r="X40" s="23"/>
    </row>
    <row r="41" spans="1:24" x14ac:dyDescent="0.45">
      <c r="A41" s="184"/>
      <c r="B41" s="175"/>
      <c r="C41" s="182"/>
      <c r="D41" s="182"/>
      <c r="E41" s="175"/>
      <c r="F41" s="183"/>
      <c r="I41" s="174"/>
      <c r="K41" s="150"/>
      <c r="L41" s="150"/>
      <c r="M41" s="151"/>
      <c r="T41" s="23"/>
      <c r="U41" s="23"/>
      <c r="V41" s="23"/>
      <c r="W41" s="23"/>
      <c r="X41" s="23"/>
    </row>
    <row r="42" spans="1:24" x14ac:dyDescent="0.45">
      <c r="A42" s="184"/>
      <c r="B42" s="175"/>
      <c r="C42" s="182"/>
      <c r="D42" s="182"/>
      <c r="E42" s="175"/>
      <c r="F42" s="183"/>
      <c r="I42" s="174"/>
      <c r="K42" s="150"/>
      <c r="L42" s="150"/>
      <c r="M42" s="151"/>
      <c r="T42" s="23"/>
      <c r="U42" s="23"/>
      <c r="V42" s="23"/>
      <c r="W42" s="23"/>
      <c r="X42" s="23"/>
    </row>
    <row r="43" spans="1:24" x14ac:dyDescent="0.45">
      <c r="A43" s="181"/>
      <c r="B43" s="175"/>
      <c r="C43" s="182"/>
      <c r="D43" s="182"/>
      <c r="E43" s="175"/>
      <c r="F43" s="183"/>
      <c r="I43" s="175"/>
      <c r="K43" s="150"/>
      <c r="L43" s="150"/>
      <c r="M43" s="151"/>
      <c r="T43" s="23"/>
      <c r="U43" s="23"/>
      <c r="V43" s="23"/>
      <c r="W43" s="23"/>
      <c r="X43" s="23"/>
    </row>
    <row r="44" spans="1:24" x14ac:dyDescent="0.45">
      <c r="A44" s="181"/>
      <c r="B44" s="175"/>
      <c r="C44" s="182"/>
      <c r="D44" s="182"/>
      <c r="E44" s="175"/>
      <c r="F44" s="183"/>
      <c r="I44" s="175"/>
      <c r="K44" s="150"/>
      <c r="L44" s="150"/>
      <c r="M44" s="151"/>
      <c r="T44" s="23"/>
      <c r="U44" s="23"/>
      <c r="V44" s="23"/>
      <c r="W44" s="23"/>
      <c r="X44" s="23"/>
    </row>
    <row r="45" spans="1:24" x14ac:dyDescent="0.45">
      <c r="A45" s="181"/>
      <c r="B45" s="175"/>
      <c r="C45" s="182"/>
      <c r="D45" s="182"/>
      <c r="E45" s="175"/>
      <c r="F45" s="183"/>
      <c r="I45" s="176"/>
      <c r="K45" s="150"/>
      <c r="L45" s="150"/>
      <c r="M45" s="151"/>
      <c r="T45" s="23"/>
      <c r="U45" s="23"/>
      <c r="V45" s="23"/>
      <c r="W45" s="23"/>
      <c r="X45" s="23"/>
    </row>
    <row r="46" spans="1:24" x14ac:dyDescent="0.45">
      <c r="A46" s="181"/>
      <c r="B46" s="175"/>
      <c r="C46" s="182"/>
      <c r="D46" s="182"/>
      <c r="E46" s="175"/>
      <c r="F46" s="183"/>
      <c r="I46" s="176"/>
      <c r="K46" s="150"/>
      <c r="L46" s="150"/>
      <c r="M46" s="151"/>
      <c r="T46" s="23"/>
      <c r="U46" s="23"/>
      <c r="V46" s="23"/>
      <c r="W46" s="23"/>
      <c r="X46" s="23"/>
    </row>
    <row r="47" spans="1:24" x14ac:dyDescent="0.45">
      <c r="A47" s="41"/>
      <c r="D47" s="134"/>
      <c r="J47" s="150"/>
      <c r="K47" s="150"/>
      <c r="L47" s="150"/>
      <c r="M47" s="151"/>
      <c r="T47" s="23"/>
      <c r="U47" s="23"/>
      <c r="V47" s="23"/>
      <c r="W47" s="23"/>
      <c r="X47" s="23"/>
    </row>
    <row r="48" spans="1:24" x14ac:dyDescent="0.45">
      <c r="J48" s="150"/>
      <c r="K48" s="150"/>
      <c r="L48" s="150"/>
      <c r="M48" s="151"/>
      <c r="T48" s="23"/>
      <c r="U48" s="23"/>
      <c r="V48" s="23"/>
      <c r="W48" s="23"/>
      <c r="X48" s="23"/>
    </row>
    <row r="49" spans="10:24" x14ac:dyDescent="0.45">
      <c r="J49" s="150"/>
      <c r="K49" s="150"/>
      <c r="L49" s="150"/>
      <c r="M49" s="151"/>
      <c r="T49" s="23"/>
      <c r="U49" s="23"/>
      <c r="V49" s="23"/>
      <c r="W49" s="23"/>
      <c r="X49" s="23"/>
    </row>
    <row r="50" spans="10:24" x14ac:dyDescent="0.45">
      <c r="J50" s="150"/>
      <c r="K50" s="150"/>
      <c r="L50" s="150"/>
      <c r="M50" s="151"/>
      <c r="T50" s="23"/>
      <c r="U50" s="23"/>
      <c r="V50" s="23"/>
      <c r="W50" s="23"/>
      <c r="X50" s="23"/>
    </row>
    <row r="51" spans="10:24" x14ac:dyDescent="0.45">
      <c r="J51" s="150"/>
      <c r="K51" s="150"/>
      <c r="L51" s="150"/>
      <c r="M51" s="151"/>
      <c r="T51" s="23"/>
      <c r="U51" s="23"/>
      <c r="V51" s="23"/>
      <c r="W51" s="23"/>
      <c r="X51" s="23"/>
    </row>
    <row r="52" spans="10:24" x14ac:dyDescent="0.45">
      <c r="J52" s="150"/>
      <c r="K52" s="150"/>
      <c r="L52" s="150"/>
      <c r="M52" s="151"/>
      <c r="T52" s="23"/>
      <c r="U52" s="23"/>
      <c r="V52" s="23"/>
      <c r="W52" s="23"/>
      <c r="X52" s="23"/>
    </row>
    <row r="53" spans="10:24" x14ac:dyDescent="0.45">
      <c r="J53" s="150"/>
      <c r="K53" s="150"/>
      <c r="L53" s="150"/>
      <c r="M53" s="151"/>
      <c r="T53" s="23"/>
      <c r="U53" s="23"/>
      <c r="V53" s="23"/>
      <c r="W53" s="23"/>
      <c r="X53" s="23"/>
    </row>
    <row r="54" spans="10:24" x14ac:dyDescent="0.45">
      <c r="J54" s="150"/>
      <c r="K54" s="150"/>
      <c r="L54" s="150"/>
      <c r="M54" s="151"/>
      <c r="T54" s="23"/>
      <c r="U54" s="23"/>
      <c r="V54" s="23"/>
      <c r="W54" s="23"/>
      <c r="X54" s="23"/>
    </row>
    <row r="55" spans="10:24" x14ac:dyDescent="0.45">
      <c r="J55" s="150"/>
      <c r="K55" s="150"/>
      <c r="L55" s="150"/>
      <c r="M55" s="151"/>
      <c r="T55" s="23"/>
      <c r="U55" s="23"/>
      <c r="V55" s="23"/>
      <c r="W55" s="23"/>
      <c r="X55" s="23"/>
    </row>
    <row r="56" spans="10:24" x14ac:dyDescent="0.45">
      <c r="J56" s="150"/>
      <c r="K56" s="150"/>
      <c r="L56" s="150"/>
      <c r="M56" s="151"/>
      <c r="T56" s="23"/>
      <c r="U56" s="23"/>
      <c r="V56" s="23"/>
      <c r="W56" s="23"/>
      <c r="X56" s="23"/>
    </row>
    <row r="57" spans="10:24" x14ac:dyDescent="0.45">
      <c r="J57" s="150"/>
      <c r="K57" s="150"/>
      <c r="L57" s="150"/>
      <c r="M57" s="151"/>
      <c r="T57" s="23"/>
      <c r="U57" s="23"/>
      <c r="V57" s="23"/>
      <c r="W57" s="23"/>
      <c r="X57" s="23"/>
    </row>
    <row r="58" spans="10:24" x14ac:dyDescent="0.45">
      <c r="J58" s="150"/>
      <c r="K58" s="150"/>
      <c r="L58" s="150"/>
      <c r="M58" s="151"/>
      <c r="T58" s="23"/>
      <c r="U58" s="23"/>
      <c r="V58" s="23"/>
      <c r="W58" s="23"/>
      <c r="X58" s="23"/>
    </row>
    <row r="59" spans="10:24" x14ac:dyDescent="0.45">
      <c r="J59" s="150"/>
      <c r="K59" s="150"/>
      <c r="L59" s="150"/>
      <c r="M59" s="151"/>
      <c r="T59" s="23"/>
      <c r="U59" s="23"/>
      <c r="V59" s="23"/>
      <c r="W59" s="23"/>
      <c r="X59" s="23"/>
    </row>
    <row r="60" spans="10:24" x14ac:dyDescent="0.45">
      <c r="J60" s="150"/>
      <c r="K60" s="150"/>
      <c r="L60" s="150"/>
      <c r="M60" s="151"/>
      <c r="T60" s="23"/>
      <c r="U60" s="23"/>
      <c r="V60" s="23"/>
      <c r="W60" s="23"/>
      <c r="X60" s="23"/>
    </row>
    <row r="61" spans="10:24" x14ac:dyDescent="0.45">
      <c r="J61" s="150"/>
      <c r="K61" s="150"/>
      <c r="L61" s="150"/>
      <c r="M61" s="151"/>
      <c r="T61" s="23"/>
      <c r="U61" s="23"/>
      <c r="V61" s="23"/>
      <c r="W61" s="23"/>
      <c r="X61" s="23"/>
    </row>
    <row r="62" spans="10:24" x14ac:dyDescent="0.45">
      <c r="T62" s="23"/>
      <c r="U62" s="23"/>
      <c r="V62" s="23"/>
      <c r="W62" s="23"/>
      <c r="X62" s="23"/>
    </row>
    <row r="63" spans="10:24" x14ac:dyDescent="0.45">
      <c r="T63" s="23"/>
      <c r="U63" s="23"/>
      <c r="V63" s="23"/>
      <c r="W63" s="23"/>
      <c r="X63" s="23"/>
    </row>
    <row r="64" spans="10:24" x14ac:dyDescent="0.45">
      <c r="U64" s="23"/>
      <c r="V64" s="23"/>
      <c r="W64" s="23"/>
      <c r="X64" s="23"/>
    </row>
    <row r="65" spans="21:24" x14ac:dyDescent="0.45">
      <c r="U65" s="23"/>
      <c r="V65" s="23"/>
      <c r="W65" s="23"/>
      <c r="X65" s="23"/>
    </row>
    <row r="81" spans="1:15" x14ac:dyDescent="0.45">
      <c r="J81" s="156"/>
      <c r="K81" s="157"/>
      <c r="L81" s="157"/>
      <c r="M81" s="157"/>
      <c r="N81" s="157"/>
      <c r="O81" s="157"/>
    </row>
    <row r="82" spans="1:15" x14ac:dyDescent="0.45">
      <c r="J82" s="158"/>
      <c r="K82" s="158"/>
      <c r="L82" s="159"/>
      <c r="M82" s="160"/>
      <c r="N82" s="160"/>
      <c r="O82" s="160"/>
    </row>
    <row r="83" spans="1:15" x14ac:dyDescent="0.45">
      <c r="J83" s="161"/>
      <c r="K83" s="161"/>
      <c r="L83" s="161"/>
      <c r="M83" s="162"/>
      <c r="N83" s="162"/>
      <c r="O83" s="162"/>
    </row>
    <row r="84" spans="1:15" x14ac:dyDescent="0.45">
      <c r="J84" s="161"/>
      <c r="K84" s="161"/>
      <c r="L84" s="161"/>
      <c r="M84" s="162"/>
      <c r="N84" s="162"/>
      <c r="O84" s="162"/>
    </row>
    <row r="85" spans="1:15" x14ac:dyDescent="0.45">
      <c r="J85" s="161"/>
      <c r="K85" s="161"/>
      <c r="L85" s="161"/>
      <c r="M85" s="162"/>
      <c r="N85" s="162"/>
      <c r="O85" s="162"/>
    </row>
    <row r="86" spans="1:15" x14ac:dyDescent="0.45">
      <c r="J86" s="161"/>
      <c r="K86" s="161"/>
      <c r="L86" s="161"/>
      <c r="M86" s="162"/>
      <c r="N86" s="162"/>
      <c r="O86" s="162"/>
    </row>
    <row r="87" spans="1:15" x14ac:dyDescent="0.45">
      <c r="J87" s="161"/>
      <c r="K87" s="161"/>
      <c r="L87" s="161"/>
      <c r="M87" s="162"/>
      <c r="N87" s="162"/>
      <c r="O87" s="162"/>
    </row>
    <row r="88" spans="1:15" x14ac:dyDescent="0.45">
      <c r="J88" s="161"/>
      <c r="K88" s="161"/>
      <c r="L88" s="161"/>
      <c r="M88" s="162"/>
      <c r="N88" s="162"/>
      <c r="O88" s="162"/>
    </row>
    <row r="89" spans="1:15" x14ac:dyDescent="0.45">
      <c r="J89" s="161"/>
      <c r="K89" s="161"/>
      <c r="L89" s="161"/>
      <c r="M89" s="162"/>
      <c r="N89" s="162"/>
      <c r="O89" s="162"/>
    </row>
    <row r="90" spans="1:15" x14ac:dyDescent="0.45">
      <c r="J90" s="161"/>
      <c r="K90" s="161"/>
      <c r="L90" s="161"/>
      <c r="M90" s="162"/>
      <c r="N90" s="162"/>
      <c r="O90" s="162"/>
    </row>
    <row r="91" spans="1:15" x14ac:dyDescent="0.45">
      <c r="J91" s="161"/>
      <c r="K91" s="161"/>
      <c r="L91" s="161"/>
      <c r="M91" s="162"/>
      <c r="N91" s="162"/>
      <c r="O91" s="162"/>
    </row>
    <row r="92" spans="1:15" x14ac:dyDescent="0.45">
      <c r="J92" s="161"/>
      <c r="K92" s="161"/>
      <c r="L92" s="161"/>
      <c r="M92" s="162"/>
      <c r="N92" s="162"/>
      <c r="O92" s="162"/>
    </row>
    <row r="93" spans="1:15" x14ac:dyDescent="0.45">
      <c r="A93" s="163"/>
      <c r="B93" s="163"/>
      <c r="C93" s="164"/>
      <c r="J93" s="161"/>
      <c r="K93" s="161"/>
      <c r="L93" s="161"/>
      <c r="M93" s="162"/>
      <c r="N93" s="162"/>
      <c r="O93" s="162"/>
    </row>
    <row r="94" spans="1:15" x14ac:dyDescent="0.45">
      <c r="J94" s="161"/>
      <c r="K94" s="161"/>
      <c r="L94" s="161"/>
      <c r="M94" s="162"/>
      <c r="N94" s="162"/>
      <c r="O94" s="162"/>
    </row>
    <row r="95" spans="1:15" x14ac:dyDescent="0.45">
      <c r="J95" s="161"/>
      <c r="K95" s="161"/>
      <c r="L95" s="161"/>
      <c r="M95" s="162"/>
      <c r="N95" s="162"/>
      <c r="O95" s="162"/>
    </row>
    <row r="96" spans="1:15" x14ac:dyDescent="0.45">
      <c r="J96" s="161"/>
      <c r="K96" s="161"/>
      <c r="L96" s="161"/>
      <c r="M96" s="162"/>
      <c r="N96" s="162"/>
      <c r="O96" s="162"/>
    </row>
    <row r="97" spans="10:15" x14ac:dyDescent="0.45">
      <c r="J97" s="161"/>
      <c r="K97" s="161"/>
      <c r="L97" s="161"/>
      <c r="M97" s="162"/>
      <c r="N97" s="162"/>
      <c r="O97" s="162"/>
    </row>
    <row r="98" spans="10:15" x14ac:dyDescent="0.45">
      <c r="J98" s="161"/>
      <c r="K98" s="161"/>
      <c r="L98" s="161"/>
      <c r="M98" s="162"/>
      <c r="N98" s="162"/>
      <c r="O98" s="162"/>
    </row>
    <row r="99" spans="10:15" x14ac:dyDescent="0.45">
      <c r="J99" s="161"/>
      <c r="K99" s="161"/>
      <c r="L99" s="161"/>
      <c r="M99" s="162"/>
      <c r="N99" s="162"/>
      <c r="O99" s="162"/>
    </row>
    <row r="100" spans="10:15" x14ac:dyDescent="0.45">
      <c r="J100" s="161"/>
      <c r="K100" s="161"/>
      <c r="L100" s="161"/>
      <c r="M100" s="162"/>
      <c r="N100" s="162"/>
      <c r="O100" s="162"/>
    </row>
    <row r="101" spans="10:15" x14ac:dyDescent="0.45">
      <c r="J101" s="161"/>
      <c r="K101" s="161"/>
      <c r="L101" s="161"/>
      <c r="M101" s="162"/>
      <c r="N101" s="162"/>
      <c r="O101" s="162"/>
    </row>
    <row r="102" spans="10:15" x14ac:dyDescent="0.45">
      <c r="J102" s="161"/>
      <c r="K102" s="161"/>
      <c r="L102" s="161"/>
      <c r="M102" s="162"/>
      <c r="N102" s="162"/>
      <c r="O102" s="162"/>
    </row>
    <row r="103" spans="10:15" x14ac:dyDescent="0.45">
      <c r="J103" s="161"/>
      <c r="K103" s="161"/>
      <c r="L103" s="161"/>
      <c r="M103" s="162"/>
      <c r="N103" s="162"/>
      <c r="O103" s="162"/>
    </row>
    <row r="104" spans="10:15" x14ac:dyDescent="0.45">
      <c r="J104" s="161"/>
      <c r="K104" s="161"/>
      <c r="L104" s="161"/>
      <c r="M104" s="162"/>
      <c r="N104" s="162"/>
      <c r="O104" s="162"/>
    </row>
    <row r="105" spans="10:15" x14ac:dyDescent="0.45">
      <c r="J105" s="161"/>
      <c r="K105" s="161"/>
      <c r="L105" s="161"/>
      <c r="M105" s="162"/>
      <c r="N105" s="162"/>
      <c r="O105" s="162"/>
    </row>
    <row r="106" spans="10:15" x14ac:dyDescent="0.45">
      <c r="J106" s="161"/>
      <c r="K106" s="161"/>
      <c r="L106" s="161"/>
      <c r="M106" s="162"/>
      <c r="N106" s="162"/>
      <c r="O106" s="162"/>
    </row>
    <row r="107" spans="10:15" x14ac:dyDescent="0.45">
      <c r="J107" s="161"/>
      <c r="K107" s="161"/>
      <c r="L107" s="161"/>
      <c r="M107" s="162"/>
      <c r="N107" s="162"/>
      <c r="O107" s="162"/>
    </row>
    <row r="108" spans="10:15" x14ac:dyDescent="0.45">
      <c r="J108" s="161"/>
      <c r="K108" s="161"/>
      <c r="L108" s="161"/>
      <c r="M108" s="162"/>
      <c r="N108" s="162"/>
      <c r="O108" s="162"/>
    </row>
    <row r="109" spans="10:15" x14ac:dyDescent="0.45">
      <c r="J109" s="161"/>
      <c r="K109" s="161"/>
      <c r="L109" s="161"/>
      <c r="M109" s="162"/>
      <c r="N109" s="162"/>
      <c r="O109" s="162"/>
    </row>
    <row r="110" spans="10:15" x14ac:dyDescent="0.45">
      <c r="J110" s="161"/>
      <c r="K110" s="161"/>
      <c r="L110" s="161"/>
      <c r="M110" s="162"/>
      <c r="N110" s="162"/>
      <c r="O110" s="162"/>
    </row>
    <row r="111" spans="10:15" x14ac:dyDescent="0.45">
      <c r="J111" s="161"/>
      <c r="K111" s="161"/>
      <c r="L111" s="161"/>
      <c r="M111" s="162"/>
      <c r="N111" s="162"/>
      <c r="O111" s="162"/>
    </row>
    <row r="112" spans="10:15" x14ac:dyDescent="0.45">
      <c r="J112" s="161"/>
      <c r="K112" s="161"/>
      <c r="L112" s="161"/>
      <c r="M112" s="162"/>
      <c r="N112" s="162"/>
      <c r="O112" s="162"/>
    </row>
    <row r="113" spans="10:15" x14ac:dyDescent="0.45">
      <c r="J113" s="161"/>
      <c r="K113" s="161"/>
      <c r="L113" s="161"/>
      <c r="M113" s="162"/>
      <c r="N113" s="162"/>
      <c r="O113" s="162"/>
    </row>
    <row r="114" spans="10:15" x14ac:dyDescent="0.45">
      <c r="J114" s="161"/>
      <c r="K114" s="161"/>
      <c r="L114" s="161"/>
      <c r="M114" s="162"/>
      <c r="N114" s="162"/>
      <c r="O114" s="162"/>
    </row>
    <row r="115" spans="10:15" x14ac:dyDescent="0.45">
      <c r="J115" s="161"/>
      <c r="K115" s="161"/>
      <c r="L115" s="161"/>
      <c r="M115" s="162"/>
      <c r="N115" s="162"/>
      <c r="O115" s="162"/>
    </row>
    <row r="116" spans="10:15" x14ac:dyDescent="0.45">
      <c r="J116" s="161"/>
      <c r="K116" s="161"/>
      <c r="L116" s="161"/>
      <c r="M116" s="162"/>
      <c r="N116" s="162"/>
      <c r="O116" s="162"/>
    </row>
    <row r="117" spans="10:15" x14ac:dyDescent="0.45">
      <c r="J117" s="161"/>
      <c r="K117" s="161"/>
      <c r="L117" s="161"/>
      <c r="M117" s="162"/>
      <c r="N117" s="162"/>
      <c r="O117" s="162"/>
    </row>
    <row r="118" spans="10:15" x14ac:dyDescent="0.45">
      <c r="J118" s="161"/>
      <c r="K118" s="161"/>
      <c r="L118" s="161"/>
      <c r="M118" s="162"/>
      <c r="N118" s="162"/>
      <c r="O118" s="162"/>
    </row>
    <row r="119" spans="10:15" x14ac:dyDescent="0.45">
      <c r="J119" s="161"/>
      <c r="K119" s="161"/>
      <c r="L119" s="161"/>
      <c r="M119" s="162"/>
      <c r="N119" s="162"/>
      <c r="O119" s="162"/>
    </row>
    <row r="120" spans="10:15" x14ac:dyDescent="0.45">
      <c r="J120" s="161"/>
      <c r="K120" s="161"/>
      <c r="L120" s="161"/>
      <c r="M120" s="162"/>
      <c r="N120" s="162"/>
      <c r="O120" s="162"/>
    </row>
    <row r="121" spans="10:15" x14ac:dyDescent="0.45">
      <c r="J121" s="161"/>
      <c r="K121" s="161"/>
      <c r="L121" s="161"/>
      <c r="M121" s="162"/>
      <c r="N121" s="162"/>
      <c r="O121" s="162"/>
    </row>
    <row r="122" spans="10:15" x14ac:dyDescent="0.45">
      <c r="J122" s="161"/>
      <c r="K122" s="161"/>
      <c r="L122" s="161"/>
      <c r="M122" s="162"/>
      <c r="N122" s="162"/>
      <c r="O122" s="162"/>
    </row>
    <row r="123" spans="10:15" x14ac:dyDescent="0.45">
      <c r="J123" s="161"/>
      <c r="K123" s="161"/>
      <c r="L123" s="161"/>
      <c r="M123" s="162"/>
      <c r="N123" s="162"/>
      <c r="O123" s="162"/>
    </row>
    <row r="124" spans="10:15" x14ac:dyDescent="0.45">
      <c r="J124" s="161"/>
      <c r="K124" s="161"/>
      <c r="L124" s="161"/>
      <c r="M124" s="162"/>
      <c r="N124" s="162"/>
      <c r="O124" s="162"/>
    </row>
    <row r="125" spans="10:15" x14ac:dyDescent="0.45">
      <c r="J125" s="161"/>
      <c r="K125" s="161"/>
      <c r="L125" s="161"/>
      <c r="M125" s="162"/>
      <c r="N125" s="162"/>
      <c r="O125" s="162"/>
    </row>
    <row r="126" spans="10:15" x14ac:dyDescent="0.45">
      <c r="J126" s="161"/>
      <c r="K126" s="161"/>
      <c r="L126" s="161"/>
      <c r="M126" s="162"/>
      <c r="N126" s="162"/>
      <c r="O126" s="162"/>
    </row>
    <row r="127" spans="10:15" x14ac:dyDescent="0.45">
      <c r="J127" s="161"/>
      <c r="K127" s="161"/>
      <c r="L127" s="161"/>
      <c r="M127" s="162"/>
      <c r="N127" s="162"/>
      <c r="O127" s="162"/>
    </row>
    <row r="128" spans="10:15" x14ac:dyDescent="0.45">
      <c r="J128" s="161"/>
      <c r="K128" s="161"/>
      <c r="L128" s="161"/>
      <c r="M128" s="162"/>
      <c r="N128" s="162"/>
      <c r="O128" s="162"/>
    </row>
    <row r="129" spans="10:15" x14ac:dyDescent="0.45">
      <c r="J129" s="161"/>
      <c r="K129" s="161"/>
      <c r="L129" s="161"/>
      <c r="M129" s="162"/>
      <c r="N129" s="162"/>
      <c r="O129" s="162"/>
    </row>
    <row r="130" spans="10:15" x14ac:dyDescent="0.45">
      <c r="J130" s="161"/>
      <c r="K130" s="161"/>
      <c r="L130" s="161"/>
      <c r="M130" s="162"/>
      <c r="N130" s="162"/>
      <c r="O130" s="162"/>
    </row>
    <row r="131" spans="10:15" x14ac:dyDescent="0.45">
      <c r="J131" s="161"/>
      <c r="K131" s="161"/>
      <c r="L131" s="161"/>
      <c r="M131" s="162"/>
      <c r="N131" s="162"/>
      <c r="O131" s="162"/>
    </row>
    <row r="132" spans="10:15" x14ac:dyDescent="0.45">
      <c r="J132" s="161"/>
      <c r="K132" s="161"/>
      <c r="L132" s="161"/>
      <c r="M132" s="162"/>
      <c r="N132" s="162"/>
      <c r="O132" s="162"/>
    </row>
    <row r="133" spans="10:15" x14ac:dyDescent="0.45">
      <c r="J133" s="161"/>
      <c r="K133" s="161"/>
      <c r="L133" s="161"/>
      <c r="M133" s="162"/>
      <c r="N133" s="162"/>
      <c r="O133" s="162"/>
    </row>
    <row r="134" spans="10:15" x14ac:dyDescent="0.45">
      <c r="J134" s="161"/>
      <c r="K134" s="161"/>
      <c r="L134" s="161"/>
      <c r="M134" s="162"/>
      <c r="N134" s="162"/>
      <c r="O134" s="162"/>
    </row>
    <row r="135" spans="10:15" x14ac:dyDescent="0.45">
      <c r="J135" s="161"/>
      <c r="K135" s="161"/>
      <c r="L135" s="161"/>
      <c r="M135" s="162"/>
      <c r="N135" s="162"/>
      <c r="O135" s="162"/>
    </row>
    <row r="136" spans="10:15" x14ac:dyDescent="0.45">
      <c r="J136" s="161"/>
      <c r="K136" s="161"/>
      <c r="L136" s="161"/>
      <c r="M136" s="162"/>
      <c r="N136" s="162"/>
      <c r="O136" s="162"/>
    </row>
    <row r="137" spans="10:15" x14ac:dyDescent="0.45">
      <c r="J137" s="161"/>
      <c r="K137" s="161"/>
      <c r="L137" s="161"/>
      <c r="M137" s="162"/>
      <c r="N137" s="162"/>
      <c r="O137" s="162"/>
    </row>
    <row r="138" spans="10:15" x14ac:dyDescent="0.45">
      <c r="J138" s="161"/>
      <c r="K138" s="161"/>
      <c r="L138" s="161"/>
      <c r="M138" s="162"/>
      <c r="N138" s="162"/>
      <c r="O138" s="162"/>
    </row>
    <row r="139" spans="10:15" x14ac:dyDescent="0.45">
      <c r="J139" s="161"/>
      <c r="K139" s="161"/>
      <c r="L139" s="161"/>
      <c r="M139" s="162"/>
      <c r="N139" s="162"/>
      <c r="O139" s="162"/>
    </row>
    <row r="140" spans="10:15" x14ac:dyDescent="0.45">
      <c r="J140" s="161"/>
      <c r="K140" s="161"/>
      <c r="L140" s="161"/>
      <c r="M140" s="162"/>
      <c r="N140" s="162"/>
      <c r="O140" s="162"/>
    </row>
    <row r="141" spans="10:15" x14ac:dyDescent="0.45">
      <c r="J141" s="161"/>
      <c r="K141" s="161"/>
      <c r="L141" s="161"/>
      <c r="M141" s="162"/>
      <c r="N141" s="162"/>
      <c r="O141" s="162"/>
    </row>
    <row r="142" spans="10:15" x14ac:dyDescent="0.45">
      <c r="J142" s="161"/>
      <c r="K142" s="161"/>
      <c r="L142" s="161"/>
      <c r="M142" s="162"/>
      <c r="N142" s="162"/>
      <c r="O142" s="162"/>
    </row>
    <row r="143" spans="10:15" x14ac:dyDescent="0.45">
      <c r="J143" s="161"/>
      <c r="K143" s="161"/>
      <c r="L143" s="161"/>
      <c r="M143" s="162"/>
      <c r="N143" s="162"/>
      <c r="O143" s="162"/>
    </row>
    <row r="144" spans="10:15" x14ac:dyDescent="0.45">
      <c r="J144" s="161"/>
      <c r="K144" s="161"/>
      <c r="L144" s="161"/>
      <c r="M144" s="162"/>
      <c r="N144" s="162"/>
      <c r="O144" s="162"/>
    </row>
    <row r="145" spans="10:15" x14ac:dyDescent="0.45">
      <c r="J145" s="161"/>
      <c r="K145" s="161"/>
      <c r="L145" s="161"/>
      <c r="M145" s="162"/>
      <c r="N145" s="162"/>
      <c r="O145" s="162"/>
    </row>
    <row r="146" spans="10:15" x14ac:dyDescent="0.45">
      <c r="J146" s="161"/>
      <c r="K146" s="161"/>
      <c r="L146" s="161"/>
      <c r="M146" s="162"/>
      <c r="N146" s="162"/>
      <c r="O146" s="162"/>
    </row>
    <row r="147" spans="10:15" x14ac:dyDescent="0.45">
      <c r="J147" s="161"/>
      <c r="K147" s="161"/>
      <c r="L147" s="161"/>
      <c r="M147" s="162"/>
      <c r="N147" s="162"/>
      <c r="O147" s="162"/>
    </row>
    <row r="148" spans="10:15" x14ac:dyDescent="0.45">
      <c r="J148" s="161"/>
      <c r="K148" s="161"/>
      <c r="L148" s="161"/>
      <c r="M148" s="162"/>
      <c r="N148" s="162"/>
      <c r="O148" s="162"/>
    </row>
    <row r="149" spans="10:15" x14ac:dyDescent="0.45">
      <c r="J149" s="161"/>
      <c r="K149" s="161"/>
      <c r="L149" s="161"/>
      <c r="M149" s="162"/>
      <c r="N149" s="162"/>
      <c r="O149" s="162"/>
    </row>
    <row r="150" spans="10:15" x14ac:dyDescent="0.45">
      <c r="J150" s="161"/>
      <c r="K150" s="161"/>
      <c r="L150" s="161"/>
      <c r="M150" s="162"/>
      <c r="N150" s="162"/>
      <c r="O150" s="162"/>
    </row>
    <row r="151" spans="10:15" x14ac:dyDescent="0.45">
      <c r="J151" s="161"/>
      <c r="K151" s="161"/>
      <c r="L151" s="161"/>
      <c r="M151" s="162"/>
      <c r="N151" s="162"/>
      <c r="O151" s="162"/>
    </row>
    <row r="152" spans="10:15" x14ac:dyDescent="0.45">
      <c r="J152" s="161"/>
      <c r="K152" s="161"/>
      <c r="L152" s="161"/>
      <c r="M152" s="162"/>
      <c r="N152" s="162"/>
      <c r="O152" s="162"/>
    </row>
    <row r="153" spans="10:15" x14ac:dyDescent="0.45">
      <c r="J153" s="161"/>
      <c r="K153" s="161"/>
      <c r="L153" s="161"/>
      <c r="M153" s="162"/>
      <c r="N153" s="162"/>
      <c r="O153" s="162"/>
    </row>
    <row r="154" spans="10:15" x14ac:dyDescent="0.45">
      <c r="J154" s="161"/>
      <c r="K154" s="161"/>
      <c r="L154" s="161"/>
      <c r="M154" s="162"/>
      <c r="N154" s="162"/>
      <c r="O154" s="162"/>
    </row>
    <row r="155" spans="10:15" x14ac:dyDescent="0.45">
      <c r="J155" s="161"/>
      <c r="K155" s="161"/>
      <c r="L155" s="161"/>
      <c r="M155" s="162"/>
      <c r="N155" s="162"/>
      <c r="O155" s="162"/>
    </row>
    <row r="156" spans="10:15" x14ac:dyDescent="0.45">
      <c r="J156" s="161"/>
      <c r="K156" s="161"/>
      <c r="L156" s="161"/>
      <c r="M156" s="162"/>
      <c r="N156" s="162"/>
      <c r="O156" s="162"/>
    </row>
    <row r="157" spans="10:15" x14ac:dyDescent="0.45">
      <c r="J157" s="161"/>
      <c r="K157" s="161"/>
      <c r="L157" s="161"/>
      <c r="M157" s="162"/>
      <c r="N157" s="162"/>
      <c r="O157" s="162"/>
    </row>
    <row r="158" spans="10:15" x14ac:dyDescent="0.45">
      <c r="J158" s="161"/>
      <c r="K158" s="161"/>
      <c r="L158" s="161"/>
      <c r="M158" s="162"/>
      <c r="N158" s="162"/>
      <c r="O158" s="162"/>
    </row>
    <row r="159" spans="10:15" x14ac:dyDescent="0.45">
      <c r="J159" s="161"/>
      <c r="K159" s="161"/>
      <c r="L159" s="161"/>
      <c r="M159" s="162"/>
      <c r="N159" s="162"/>
      <c r="O159" s="162"/>
    </row>
    <row r="160" spans="10:15" x14ac:dyDescent="0.45">
      <c r="J160" s="161"/>
      <c r="K160" s="161"/>
      <c r="L160" s="161"/>
      <c r="M160" s="162"/>
      <c r="N160" s="162"/>
      <c r="O160" s="162"/>
    </row>
    <row r="161" spans="2:15" x14ac:dyDescent="0.45">
      <c r="J161" s="161"/>
      <c r="K161" s="161"/>
      <c r="L161" s="161"/>
      <c r="M161" s="162"/>
      <c r="N161" s="162"/>
      <c r="O161" s="162"/>
    </row>
    <row r="162" spans="2:15" x14ac:dyDescent="0.45">
      <c r="J162" s="161"/>
      <c r="K162" s="161"/>
      <c r="L162" s="161"/>
      <c r="M162" s="162"/>
      <c r="N162" s="162"/>
      <c r="O162" s="162"/>
    </row>
    <row r="163" spans="2:15" x14ac:dyDescent="0.45">
      <c r="J163" s="161"/>
      <c r="K163" s="161"/>
      <c r="L163" s="161"/>
      <c r="M163" s="162"/>
      <c r="N163" s="162"/>
      <c r="O163" s="162"/>
    </row>
    <row r="164" spans="2:15" x14ac:dyDescent="0.45">
      <c r="J164" s="161"/>
      <c r="K164" s="161"/>
      <c r="L164" s="161"/>
      <c r="M164" s="162"/>
      <c r="N164" s="162"/>
      <c r="O164" s="162"/>
    </row>
    <row r="165" spans="2:15" x14ac:dyDescent="0.45">
      <c r="J165" s="161"/>
      <c r="K165" s="161"/>
      <c r="L165" s="161"/>
      <c r="M165" s="162"/>
      <c r="N165" s="162"/>
      <c r="O165" s="162"/>
    </row>
    <row r="166" spans="2:15" x14ac:dyDescent="0.45">
      <c r="J166" s="161"/>
      <c r="K166" s="161"/>
      <c r="L166" s="161"/>
      <c r="M166" s="162"/>
      <c r="N166" s="162"/>
      <c r="O166" s="162"/>
    </row>
    <row r="167" spans="2:15" x14ac:dyDescent="0.45">
      <c r="J167" s="161"/>
      <c r="K167" s="161"/>
      <c r="L167" s="161"/>
      <c r="M167" s="162"/>
      <c r="N167" s="162"/>
      <c r="O167" s="162"/>
    </row>
    <row r="168" spans="2:15" x14ac:dyDescent="0.45">
      <c r="J168" s="161"/>
      <c r="K168" s="161"/>
      <c r="L168" s="161"/>
      <c r="M168" s="162"/>
      <c r="N168" s="162"/>
      <c r="O168" s="162"/>
    </row>
    <row r="169" spans="2:15" x14ac:dyDescent="0.45">
      <c r="J169" s="161"/>
      <c r="K169" s="161"/>
      <c r="L169" s="161"/>
      <c r="M169" s="162"/>
      <c r="N169" s="162"/>
      <c r="O169" s="162"/>
    </row>
    <row r="170" spans="2:15" x14ac:dyDescent="0.45">
      <c r="J170" s="161"/>
      <c r="K170" s="161"/>
      <c r="L170" s="161"/>
      <c r="M170" s="162"/>
      <c r="N170" s="162"/>
      <c r="O170" s="162"/>
    </row>
    <row r="171" spans="2:15" x14ac:dyDescent="0.45">
      <c r="J171" s="161"/>
      <c r="K171" s="161"/>
      <c r="L171" s="161"/>
      <c r="M171" s="162"/>
      <c r="N171" s="162"/>
      <c r="O171" s="162"/>
    </row>
    <row r="172" spans="2:15" x14ac:dyDescent="0.45">
      <c r="J172" s="161"/>
      <c r="K172" s="161"/>
      <c r="L172" s="161"/>
      <c r="M172" s="162"/>
      <c r="N172" s="162"/>
      <c r="O172" s="162"/>
    </row>
    <row r="173" spans="2:15" x14ac:dyDescent="0.45">
      <c r="J173" s="161"/>
      <c r="K173" s="161"/>
      <c r="L173" s="161"/>
      <c r="M173" s="162"/>
      <c r="N173" s="162"/>
      <c r="O173" s="162"/>
    </row>
    <row r="174" spans="2:15" x14ac:dyDescent="0.45">
      <c r="B174" s="163"/>
      <c r="J174" s="161"/>
      <c r="K174" s="161"/>
      <c r="L174" s="161"/>
      <c r="M174" s="162"/>
      <c r="N174" s="162"/>
      <c r="O174" s="162"/>
    </row>
    <row r="175" spans="2:15" x14ac:dyDescent="0.45">
      <c r="J175" s="161"/>
      <c r="K175" s="161"/>
      <c r="L175" s="161"/>
      <c r="M175" s="162"/>
      <c r="N175" s="162"/>
      <c r="O175" s="162"/>
    </row>
    <row r="176" spans="2:15" x14ac:dyDescent="0.45">
      <c r="J176" s="161"/>
      <c r="K176" s="161"/>
      <c r="L176" s="161"/>
      <c r="M176" s="162"/>
      <c r="N176" s="162"/>
      <c r="O176" s="162"/>
    </row>
    <row r="177" spans="3:15" x14ac:dyDescent="0.45">
      <c r="J177" s="161"/>
      <c r="K177" s="161"/>
      <c r="L177" s="161"/>
      <c r="M177" s="162"/>
      <c r="N177" s="162"/>
      <c r="O177" s="162"/>
    </row>
    <row r="178" spans="3:15" x14ac:dyDescent="0.45">
      <c r="C178" s="165"/>
      <c r="J178" s="161"/>
      <c r="K178" s="161"/>
      <c r="L178" s="161"/>
      <c r="M178" s="162"/>
      <c r="N178" s="162"/>
      <c r="O178" s="162"/>
    </row>
    <row r="179" spans="3:15" x14ac:dyDescent="0.45">
      <c r="J179" s="161"/>
      <c r="K179" s="161"/>
      <c r="L179" s="161"/>
      <c r="M179" s="162"/>
      <c r="N179" s="162"/>
      <c r="O179" s="162"/>
    </row>
    <row r="180" spans="3:15" x14ac:dyDescent="0.45">
      <c r="C180" s="166"/>
      <c r="J180" s="161"/>
      <c r="K180" s="161"/>
      <c r="L180" s="161"/>
      <c r="M180" s="162"/>
      <c r="N180" s="162"/>
      <c r="O180" s="162"/>
    </row>
    <row r="181" spans="3:15" x14ac:dyDescent="0.45">
      <c r="J181" s="161"/>
      <c r="K181" s="161"/>
      <c r="L181" s="161"/>
      <c r="M181" s="162"/>
      <c r="N181" s="162"/>
      <c r="O181" s="162"/>
    </row>
    <row r="182" spans="3:15" x14ac:dyDescent="0.45">
      <c r="C182" s="134"/>
      <c r="J182" s="161"/>
      <c r="K182" s="161"/>
      <c r="L182" s="161"/>
      <c r="M182" s="162"/>
      <c r="N182" s="162"/>
      <c r="O182" s="162"/>
    </row>
    <row r="183" spans="3:15" x14ac:dyDescent="0.45">
      <c r="J183" s="161"/>
      <c r="K183" s="161"/>
      <c r="L183" s="161"/>
      <c r="M183" s="162"/>
      <c r="N183" s="162"/>
      <c r="O183" s="162"/>
    </row>
    <row r="184" spans="3:15" x14ac:dyDescent="0.45">
      <c r="J184" s="161"/>
      <c r="K184" s="161"/>
      <c r="L184" s="161"/>
      <c r="M184" s="162"/>
      <c r="N184" s="162"/>
      <c r="O184" s="162"/>
    </row>
    <row r="185" spans="3:15" x14ac:dyDescent="0.45">
      <c r="J185" s="161"/>
      <c r="K185" s="161"/>
      <c r="L185" s="161"/>
      <c r="M185" s="162"/>
      <c r="N185" s="162"/>
      <c r="O185" s="162"/>
    </row>
    <row r="186" spans="3:15" x14ac:dyDescent="0.45">
      <c r="J186" s="161"/>
      <c r="K186" s="161"/>
      <c r="L186" s="161"/>
      <c r="M186" s="162"/>
      <c r="N186" s="162"/>
      <c r="O186" s="162"/>
    </row>
    <row r="187" spans="3:15" x14ac:dyDescent="0.45">
      <c r="J187" s="161"/>
      <c r="K187" s="161"/>
      <c r="L187" s="161"/>
      <c r="M187" s="162"/>
      <c r="N187" s="162"/>
      <c r="O187" s="162"/>
    </row>
    <row r="188" spans="3:15" x14ac:dyDescent="0.45">
      <c r="J188" s="161"/>
      <c r="K188" s="161"/>
      <c r="L188" s="161"/>
      <c r="M188" s="162"/>
      <c r="N188" s="162"/>
      <c r="O188" s="162"/>
    </row>
    <row r="189" spans="3:15" x14ac:dyDescent="0.45">
      <c r="J189" s="161"/>
      <c r="K189" s="161"/>
      <c r="L189" s="161"/>
      <c r="M189" s="162"/>
      <c r="N189" s="162"/>
      <c r="O189" s="162"/>
    </row>
    <row r="190" spans="3:15" x14ac:dyDescent="0.45">
      <c r="J190" s="161"/>
      <c r="K190" s="161"/>
      <c r="L190" s="161"/>
      <c r="M190" s="162"/>
      <c r="N190" s="162"/>
      <c r="O190" s="162"/>
    </row>
    <row r="191" spans="3:15" x14ac:dyDescent="0.45">
      <c r="J191" s="161"/>
      <c r="K191" s="161"/>
      <c r="L191" s="161"/>
      <c r="M191" s="162"/>
      <c r="N191" s="162"/>
      <c r="O191" s="162"/>
    </row>
    <row r="192" spans="3:15" x14ac:dyDescent="0.45">
      <c r="J192" s="161"/>
      <c r="K192" s="161"/>
      <c r="L192" s="161"/>
      <c r="M192" s="162"/>
      <c r="N192" s="162"/>
      <c r="O192" s="162"/>
    </row>
    <row r="193" spans="10:15" x14ac:dyDescent="0.45">
      <c r="J193" s="161"/>
      <c r="K193" s="161"/>
      <c r="L193" s="161"/>
      <c r="M193" s="162"/>
      <c r="N193" s="162"/>
      <c r="O193" s="162"/>
    </row>
    <row r="194" spans="10:15" x14ac:dyDescent="0.45">
      <c r="J194" s="161"/>
      <c r="K194" s="161"/>
      <c r="L194" s="161"/>
      <c r="M194" s="162"/>
      <c r="N194" s="162"/>
      <c r="O194" s="162"/>
    </row>
    <row r="195" spans="10:15" x14ac:dyDescent="0.45">
      <c r="J195" s="161"/>
      <c r="K195" s="161"/>
      <c r="L195" s="161"/>
      <c r="M195" s="162"/>
      <c r="N195" s="162"/>
      <c r="O195" s="162"/>
    </row>
    <row r="196" spans="10:15" x14ac:dyDescent="0.45">
      <c r="J196" s="161"/>
      <c r="K196" s="161"/>
      <c r="L196" s="161"/>
      <c r="M196" s="162"/>
      <c r="N196" s="162"/>
      <c r="O196" s="162"/>
    </row>
    <row r="197" spans="10:15" x14ac:dyDescent="0.45">
      <c r="J197" s="161"/>
      <c r="K197" s="161"/>
      <c r="L197" s="161"/>
      <c r="M197" s="162"/>
      <c r="N197" s="162"/>
      <c r="O197" s="162"/>
    </row>
    <row r="198" spans="10:15" x14ac:dyDescent="0.45">
      <c r="J198" s="161"/>
      <c r="K198" s="161"/>
      <c r="L198" s="161"/>
      <c r="M198" s="162"/>
      <c r="N198" s="162"/>
      <c r="O198" s="162"/>
    </row>
    <row r="199" spans="10:15" x14ac:dyDescent="0.45">
      <c r="J199" s="161"/>
      <c r="K199" s="161"/>
      <c r="L199" s="161"/>
      <c r="M199" s="162"/>
      <c r="N199" s="162"/>
      <c r="O199" s="162"/>
    </row>
    <row r="200" spans="10:15" x14ac:dyDescent="0.45">
      <c r="J200" s="161"/>
      <c r="K200" s="161"/>
      <c r="L200" s="161"/>
      <c r="M200" s="162"/>
      <c r="N200" s="162"/>
      <c r="O200" s="162"/>
    </row>
    <row r="201" spans="10:15" x14ac:dyDescent="0.45">
      <c r="J201" s="161"/>
      <c r="K201" s="161"/>
      <c r="L201" s="161"/>
      <c r="M201" s="162"/>
      <c r="N201" s="162"/>
      <c r="O201" s="162"/>
    </row>
    <row r="202" spans="10:15" x14ac:dyDescent="0.45">
      <c r="J202" s="161"/>
      <c r="K202" s="161"/>
      <c r="L202" s="161"/>
      <c r="M202" s="162"/>
      <c r="N202" s="162"/>
      <c r="O202" s="162"/>
    </row>
    <row r="203" spans="10:15" x14ac:dyDescent="0.45">
      <c r="J203" s="161"/>
      <c r="K203" s="161"/>
      <c r="L203" s="161"/>
      <c r="M203" s="162"/>
      <c r="N203" s="162"/>
      <c r="O203" s="162"/>
    </row>
    <row r="204" spans="10:15" x14ac:dyDescent="0.45">
      <c r="J204" s="161"/>
      <c r="K204" s="161"/>
      <c r="L204" s="161"/>
      <c r="M204" s="162"/>
      <c r="N204" s="162"/>
      <c r="O204" s="162"/>
    </row>
    <row r="205" spans="10:15" x14ac:dyDescent="0.45">
      <c r="J205" s="161"/>
      <c r="K205" s="161"/>
      <c r="L205" s="161"/>
      <c r="M205" s="162"/>
      <c r="N205" s="162"/>
      <c r="O205" s="162"/>
    </row>
    <row r="206" spans="10:15" x14ac:dyDescent="0.45">
      <c r="J206" s="161"/>
      <c r="K206" s="161"/>
      <c r="L206" s="161"/>
      <c r="M206" s="162"/>
      <c r="N206" s="162"/>
      <c r="O206" s="162"/>
    </row>
    <row r="207" spans="10:15" x14ac:dyDescent="0.45">
      <c r="J207" s="161"/>
      <c r="K207" s="161"/>
      <c r="L207" s="161"/>
      <c r="M207" s="162"/>
      <c r="N207" s="162"/>
      <c r="O207" s="162"/>
    </row>
    <row r="208" spans="10:15" x14ac:dyDescent="0.45">
      <c r="J208" s="161"/>
      <c r="K208" s="161"/>
      <c r="L208" s="161"/>
      <c r="M208" s="162"/>
      <c r="N208" s="162"/>
      <c r="O208" s="162"/>
    </row>
    <row r="209" spans="10:15" x14ac:dyDescent="0.45">
      <c r="J209" s="161"/>
      <c r="K209" s="161"/>
      <c r="L209" s="161"/>
      <c r="M209" s="162"/>
      <c r="N209" s="162"/>
      <c r="O209" s="162"/>
    </row>
    <row r="210" spans="10:15" x14ac:dyDescent="0.45">
      <c r="J210" s="161"/>
      <c r="K210" s="161"/>
      <c r="L210" s="161"/>
      <c r="M210" s="162"/>
      <c r="N210" s="162"/>
      <c r="O210" s="162"/>
    </row>
    <row r="211" spans="10:15" x14ac:dyDescent="0.45">
      <c r="J211" s="161"/>
      <c r="K211" s="161"/>
      <c r="L211" s="161"/>
      <c r="M211" s="162"/>
      <c r="N211" s="162"/>
      <c r="O211" s="162"/>
    </row>
    <row r="212" spans="10:15" x14ac:dyDescent="0.45">
      <c r="J212" s="161"/>
      <c r="K212" s="161"/>
      <c r="L212" s="161"/>
      <c r="M212" s="162"/>
      <c r="N212" s="162"/>
      <c r="O212" s="162"/>
    </row>
    <row r="213" spans="10:15" x14ac:dyDescent="0.45">
      <c r="J213" s="161"/>
      <c r="K213" s="161"/>
      <c r="L213" s="161"/>
      <c r="M213" s="162"/>
      <c r="N213" s="162"/>
      <c r="O213" s="162"/>
    </row>
    <row r="214" spans="10:15" x14ac:dyDescent="0.45">
      <c r="J214" s="161"/>
      <c r="K214" s="161"/>
      <c r="L214" s="161"/>
      <c r="M214" s="162"/>
      <c r="N214" s="162"/>
      <c r="O214" s="162"/>
    </row>
    <row r="215" spans="10:15" x14ac:dyDescent="0.45">
      <c r="J215" s="161"/>
      <c r="K215" s="161"/>
      <c r="L215" s="161"/>
      <c r="M215" s="162"/>
      <c r="N215" s="162"/>
      <c r="O215" s="162"/>
    </row>
    <row r="216" spans="10:15" x14ac:dyDescent="0.45">
      <c r="J216" s="161"/>
      <c r="K216" s="161"/>
      <c r="L216" s="161"/>
      <c r="M216" s="162"/>
      <c r="N216" s="162"/>
      <c r="O216" s="162"/>
    </row>
    <row r="217" spans="10:15" x14ac:dyDescent="0.45">
      <c r="J217" s="161"/>
      <c r="K217" s="161"/>
      <c r="L217" s="161"/>
      <c r="M217" s="162"/>
      <c r="N217" s="162"/>
      <c r="O217" s="162"/>
    </row>
    <row r="218" spans="10:15" x14ac:dyDescent="0.45">
      <c r="J218" s="161"/>
      <c r="K218" s="161"/>
      <c r="L218" s="161"/>
      <c r="M218" s="162"/>
      <c r="N218" s="162"/>
      <c r="O218" s="162"/>
    </row>
    <row r="219" spans="10:15" x14ac:dyDescent="0.45">
      <c r="J219" s="161"/>
      <c r="K219" s="161"/>
      <c r="L219" s="161"/>
      <c r="M219" s="162"/>
      <c r="N219" s="162"/>
      <c r="O219" s="162"/>
    </row>
    <row r="220" spans="10:15" x14ac:dyDescent="0.45">
      <c r="J220" s="161"/>
      <c r="K220" s="161"/>
      <c r="L220" s="161"/>
      <c r="M220" s="162"/>
      <c r="N220" s="162"/>
      <c r="O220" s="162"/>
    </row>
    <row r="221" spans="10:15" x14ac:dyDescent="0.45">
      <c r="J221" s="161"/>
      <c r="K221" s="161"/>
      <c r="L221" s="161"/>
      <c r="M221" s="162"/>
      <c r="N221" s="162"/>
      <c r="O221" s="162"/>
    </row>
    <row r="222" spans="10:15" x14ac:dyDescent="0.45">
      <c r="J222" s="161"/>
      <c r="K222" s="161"/>
      <c r="L222" s="161"/>
      <c r="M222" s="162"/>
      <c r="N222" s="162"/>
      <c r="O222" s="162"/>
    </row>
    <row r="223" spans="10:15" x14ac:dyDescent="0.45">
      <c r="J223" s="161"/>
      <c r="K223" s="161"/>
      <c r="L223" s="161"/>
      <c r="M223" s="162"/>
      <c r="N223" s="162"/>
      <c r="O223" s="162"/>
    </row>
    <row r="224" spans="10:15" x14ac:dyDescent="0.45">
      <c r="J224" s="161"/>
      <c r="K224" s="161"/>
      <c r="L224" s="161"/>
      <c r="M224" s="162"/>
      <c r="N224" s="162"/>
      <c r="O224" s="162"/>
    </row>
    <row r="225" spans="10:15" x14ac:dyDescent="0.45">
      <c r="J225" s="161"/>
      <c r="K225" s="161"/>
      <c r="L225" s="161"/>
      <c r="M225" s="162"/>
      <c r="N225" s="162"/>
      <c r="O225" s="162"/>
    </row>
    <row r="226" spans="10:15" x14ac:dyDescent="0.45">
      <c r="J226" s="161"/>
      <c r="K226" s="161"/>
      <c r="L226" s="161"/>
      <c r="M226" s="162"/>
      <c r="N226" s="162"/>
      <c r="O226" s="162"/>
    </row>
    <row r="227" spans="10:15" x14ac:dyDescent="0.45">
      <c r="J227" s="161"/>
      <c r="K227" s="161"/>
      <c r="L227" s="161"/>
      <c r="M227" s="162"/>
      <c r="N227" s="162"/>
      <c r="O227" s="162"/>
    </row>
    <row r="228" spans="10:15" x14ac:dyDescent="0.45">
      <c r="J228" s="161"/>
      <c r="K228" s="161"/>
      <c r="L228" s="161"/>
      <c r="M228" s="162"/>
      <c r="N228" s="162"/>
      <c r="O228" s="162"/>
    </row>
    <row r="229" spans="10:15" x14ac:dyDescent="0.45">
      <c r="J229" s="161"/>
      <c r="K229" s="161"/>
      <c r="L229" s="161"/>
      <c r="M229" s="162"/>
      <c r="N229" s="162"/>
      <c r="O229" s="162"/>
    </row>
    <row r="230" spans="10:15" x14ac:dyDescent="0.45">
      <c r="J230" s="161"/>
      <c r="K230" s="161"/>
      <c r="L230" s="161"/>
      <c r="M230" s="162"/>
      <c r="N230" s="162"/>
      <c r="O230" s="162"/>
    </row>
    <row r="231" spans="10:15" x14ac:dyDescent="0.45">
      <c r="J231" s="161"/>
      <c r="K231" s="161"/>
      <c r="L231" s="161"/>
      <c r="M231" s="162"/>
      <c r="N231" s="162"/>
      <c r="O231" s="162"/>
    </row>
    <row r="232" spans="10:15" x14ac:dyDescent="0.45">
      <c r="J232" s="161"/>
      <c r="K232" s="161"/>
      <c r="L232" s="161"/>
      <c r="M232" s="162"/>
      <c r="N232" s="162"/>
      <c r="O232" s="162"/>
    </row>
    <row r="233" spans="10:15" x14ac:dyDescent="0.45">
      <c r="J233" s="161"/>
      <c r="K233" s="161"/>
      <c r="L233" s="161"/>
      <c r="M233" s="162"/>
      <c r="N233" s="162"/>
      <c r="O233" s="162"/>
    </row>
    <row r="234" spans="10:15" x14ac:dyDescent="0.45">
      <c r="J234" s="161"/>
      <c r="K234" s="161"/>
      <c r="L234" s="161"/>
      <c r="M234" s="162"/>
      <c r="N234" s="162"/>
      <c r="O234" s="162"/>
    </row>
    <row r="235" spans="10:15" x14ac:dyDescent="0.45">
      <c r="J235" s="161"/>
      <c r="K235" s="161"/>
      <c r="L235" s="161"/>
      <c r="M235" s="162"/>
      <c r="N235" s="162"/>
      <c r="O235" s="162"/>
    </row>
    <row r="236" spans="10:15" x14ac:dyDescent="0.45">
      <c r="J236" s="161"/>
      <c r="K236" s="161"/>
      <c r="L236" s="161"/>
      <c r="M236" s="162"/>
      <c r="N236" s="162"/>
      <c r="O236" s="162"/>
    </row>
    <row r="237" spans="10:15" x14ac:dyDescent="0.45">
      <c r="J237" s="161"/>
      <c r="K237" s="161"/>
      <c r="L237" s="161"/>
      <c r="M237" s="162"/>
      <c r="N237" s="162"/>
      <c r="O237" s="162"/>
    </row>
    <row r="238" spans="10:15" x14ac:dyDescent="0.45">
      <c r="J238" s="161"/>
      <c r="K238" s="161"/>
      <c r="L238" s="161"/>
      <c r="M238" s="162"/>
      <c r="N238" s="162"/>
      <c r="O238" s="162"/>
    </row>
    <row r="239" spans="10:15" x14ac:dyDescent="0.45">
      <c r="J239" s="161"/>
      <c r="K239" s="161"/>
      <c r="L239" s="161"/>
      <c r="M239" s="162"/>
      <c r="N239" s="162"/>
      <c r="O239" s="162"/>
    </row>
    <row r="240" spans="10:15" x14ac:dyDescent="0.45">
      <c r="J240" s="161"/>
      <c r="K240" s="161"/>
      <c r="L240" s="161"/>
      <c r="M240" s="162"/>
      <c r="N240" s="162"/>
      <c r="O240" s="162"/>
    </row>
    <row r="241" spans="10:15" x14ac:dyDescent="0.45">
      <c r="J241" s="161"/>
      <c r="K241" s="161"/>
      <c r="L241" s="161"/>
      <c r="M241" s="162"/>
      <c r="N241" s="162"/>
      <c r="O241" s="162"/>
    </row>
    <row r="242" spans="10:15" x14ac:dyDescent="0.45">
      <c r="J242" s="161"/>
      <c r="K242" s="161"/>
      <c r="L242" s="161"/>
      <c r="M242" s="162"/>
      <c r="N242" s="162"/>
      <c r="O242" s="162"/>
    </row>
    <row r="243" spans="10:15" x14ac:dyDescent="0.45">
      <c r="J243" s="161"/>
      <c r="K243" s="161"/>
      <c r="L243" s="161"/>
      <c r="M243" s="162"/>
      <c r="N243" s="162"/>
      <c r="O243" s="162"/>
    </row>
    <row r="244" spans="10:15" x14ac:dyDescent="0.45">
      <c r="J244" s="161"/>
      <c r="K244" s="161"/>
      <c r="L244" s="161"/>
      <c r="M244" s="162"/>
      <c r="N244" s="162"/>
      <c r="O244" s="162"/>
    </row>
    <row r="245" spans="10:15" x14ac:dyDescent="0.45">
      <c r="J245" s="161"/>
      <c r="K245" s="161"/>
      <c r="L245" s="161"/>
      <c r="M245" s="162"/>
      <c r="N245" s="162"/>
      <c r="O245" s="162"/>
    </row>
    <row r="246" spans="10:15" x14ac:dyDescent="0.45">
      <c r="J246" s="161"/>
      <c r="K246" s="161"/>
      <c r="L246" s="161"/>
      <c r="M246" s="162"/>
      <c r="N246" s="162"/>
      <c r="O246" s="162"/>
    </row>
    <row r="247" spans="10:15" x14ac:dyDescent="0.45">
      <c r="J247" s="161"/>
      <c r="K247" s="161"/>
      <c r="L247" s="161"/>
      <c r="M247" s="162"/>
      <c r="N247" s="162"/>
      <c r="O247" s="162"/>
    </row>
    <row r="248" spans="10:15" x14ac:dyDescent="0.45">
      <c r="J248" s="161"/>
      <c r="K248" s="161"/>
      <c r="L248" s="161"/>
      <c r="M248" s="162"/>
      <c r="N248" s="162"/>
      <c r="O248" s="162"/>
    </row>
    <row r="249" spans="10:15" x14ac:dyDescent="0.45">
      <c r="J249" s="161"/>
      <c r="K249" s="161"/>
      <c r="L249" s="161"/>
      <c r="M249" s="162"/>
      <c r="N249" s="162"/>
      <c r="O249" s="162"/>
    </row>
    <row r="250" spans="10:15" x14ac:dyDescent="0.45">
      <c r="J250" s="161"/>
      <c r="K250" s="161"/>
      <c r="L250" s="161"/>
      <c r="M250" s="162"/>
      <c r="N250" s="162"/>
      <c r="O250" s="162"/>
    </row>
    <row r="251" spans="10:15" x14ac:dyDescent="0.45">
      <c r="J251" s="161"/>
      <c r="K251" s="161"/>
      <c r="L251" s="161"/>
      <c r="M251" s="162"/>
      <c r="N251" s="162"/>
      <c r="O251" s="162"/>
    </row>
    <row r="252" spans="10:15" x14ac:dyDescent="0.45">
      <c r="J252" s="161"/>
      <c r="K252" s="161"/>
      <c r="L252" s="161"/>
      <c r="M252" s="162"/>
      <c r="N252" s="162"/>
      <c r="O252" s="162"/>
    </row>
    <row r="253" spans="10:15" x14ac:dyDescent="0.45">
      <c r="J253" s="161"/>
      <c r="K253" s="161"/>
      <c r="L253" s="161"/>
      <c r="M253" s="162"/>
      <c r="N253" s="162"/>
      <c r="O253" s="162"/>
    </row>
    <row r="254" spans="10:15" x14ac:dyDescent="0.45">
      <c r="J254" s="161"/>
      <c r="K254" s="161"/>
      <c r="L254" s="161"/>
      <c r="M254" s="162"/>
      <c r="N254" s="162"/>
      <c r="O254" s="162"/>
    </row>
    <row r="255" spans="10:15" x14ac:dyDescent="0.45">
      <c r="J255" s="161"/>
      <c r="K255" s="161"/>
      <c r="L255" s="161"/>
      <c r="M255" s="162"/>
      <c r="N255" s="162"/>
      <c r="O255" s="162"/>
    </row>
    <row r="256" spans="10:15" x14ac:dyDescent="0.45">
      <c r="J256" s="161"/>
      <c r="K256" s="161"/>
      <c r="L256" s="161"/>
      <c r="M256" s="162"/>
      <c r="N256" s="162"/>
      <c r="O256" s="162"/>
    </row>
    <row r="257" spans="10:15" x14ac:dyDescent="0.45">
      <c r="J257" s="161"/>
      <c r="K257" s="161"/>
      <c r="L257" s="161"/>
      <c r="M257" s="162"/>
      <c r="N257" s="162"/>
      <c r="O257" s="162"/>
    </row>
    <row r="258" spans="10:15" x14ac:dyDescent="0.45">
      <c r="J258" s="161"/>
      <c r="K258" s="161"/>
      <c r="L258" s="161"/>
      <c r="M258" s="162"/>
      <c r="N258" s="162"/>
      <c r="O258" s="162"/>
    </row>
    <row r="259" spans="10:15" x14ac:dyDescent="0.45">
      <c r="J259" s="161"/>
      <c r="K259" s="161"/>
      <c r="L259" s="161"/>
      <c r="M259" s="162"/>
      <c r="N259" s="162"/>
      <c r="O259" s="162"/>
    </row>
    <row r="260" spans="10:15" x14ac:dyDescent="0.45">
      <c r="J260" s="161"/>
      <c r="K260" s="161"/>
      <c r="L260" s="161"/>
      <c r="M260" s="162"/>
      <c r="N260" s="162"/>
      <c r="O260" s="162"/>
    </row>
    <row r="261" spans="10:15" x14ac:dyDescent="0.45">
      <c r="J261" s="161"/>
      <c r="K261" s="161"/>
      <c r="L261" s="161"/>
      <c r="M261" s="162"/>
      <c r="N261" s="162"/>
      <c r="O261" s="162"/>
    </row>
    <row r="262" spans="10:15" x14ac:dyDescent="0.45">
      <c r="J262" s="161"/>
      <c r="K262" s="161"/>
      <c r="L262" s="161"/>
      <c r="M262" s="162"/>
      <c r="N262" s="162"/>
      <c r="O262" s="162"/>
    </row>
    <row r="263" spans="10:15" x14ac:dyDescent="0.45">
      <c r="J263" s="161"/>
      <c r="K263" s="161"/>
      <c r="L263" s="161"/>
      <c r="M263" s="162"/>
      <c r="N263" s="162"/>
      <c r="O263" s="162"/>
    </row>
    <row r="264" spans="10:15" x14ac:dyDescent="0.45">
      <c r="J264" s="161"/>
      <c r="K264" s="161"/>
      <c r="L264" s="161"/>
      <c r="M264" s="162"/>
      <c r="N264" s="162"/>
      <c r="O264" s="162"/>
    </row>
    <row r="265" spans="10:15" x14ac:dyDescent="0.45">
      <c r="J265" s="161"/>
      <c r="K265" s="161"/>
      <c r="L265" s="161"/>
      <c r="M265" s="162"/>
      <c r="N265" s="162"/>
      <c r="O265" s="162"/>
    </row>
    <row r="266" spans="10:15" x14ac:dyDescent="0.45">
      <c r="J266" s="161"/>
      <c r="K266" s="161"/>
      <c r="L266" s="161"/>
      <c r="M266" s="162"/>
      <c r="N266" s="162"/>
      <c r="O266" s="162"/>
    </row>
    <row r="267" spans="10:15" x14ac:dyDescent="0.45">
      <c r="J267" s="161"/>
      <c r="K267" s="161"/>
      <c r="L267" s="161"/>
      <c r="M267" s="162"/>
      <c r="N267" s="162"/>
      <c r="O267" s="162"/>
    </row>
    <row r="268" spans="10:15" x14ac:dyDescent="0.45">
      <c r="J268" s="161"/>
      <c r="K268" s="161"/>
      <c r="L268" s="161"/>
      <c r="M268" s="162"/>
      <c r="N268" s="162"/>
      <c r="O268" s="162"/>
    </row>
    <row r="269" spans="10:15" x14ac:dyDescent="0.45">
      <c r="J269" s="161"/>
      <c r="K269" s="161"/>
      <c r="L269" s="161"/>
      <c r="M269" s="162"/>
      <c r="N269" s="162"/>
      <c r="O269" s="162"/>
    </row>
    <row r="270" spans="10:15" x14ac:dyDescent="0.45">
      <c r="J270" s="161"/>
      <c r="K270" s="161"/>
      <c r="L270" s="161"/>
      <c r="M270" s="162"/>
      <c r="N270" s="162"/>
      <c r="O270" s="162"/>
    </row>
    <row r="271" spans="10:15" x14ac:dyDescent="0.45">
      <c r="J271" s="161"/>
      <c r="K271" s="161"/>
      <c r="L271" s="161"/>
      <c r="M271" s="162"/>
      <c r="N271" s="162"/>
      <c r="O271" s="162"/>
    </row>
    <row r="272" spans="10:15" x14ac:dyDescent="0.45">
      <c r="J272" s="161"/>
      <c r="K272" s="161"/>
      <c r="L272" s="161"/>
      <c r="M272" s="162"/>
      <c r="N272" s="162"/>
      <c r="O272" s="162"/>
    </row>
    <row r="273" spans="10:15" x14ac:dyDescent="0.45">
      <c r="J273" s="161"/>
      <c r="K273" s="161"/>
      <c r="L273" s="161"/>
      <c r="M273" s="162"/>
      <c r="N273" s="162"/>
      <c r="O273" s="162"/>
    </row>
    <row r="274" spans="10:15" x14ac:dyDescent="0.45">
      <c r="J274" s="161"/>
      <c r="K274" s="161"/>
      <c r="L274" s="161"/>
      <c r="M274" s="162"/>
      <c r="N274" s="162"/>
      <c r="O274" s="162"/>
    </row>
    <row r="275" spans="10:15" x14ac:dyDescent="0.45">
      <c r="J275" s="161"/>
      <c r="K275" s="161"/>
      <c r="L275" s="161"/>
      <c r="M275" s="162"/>
      <c r="N275" s="162"/>
      <c r="O275" s="162"/>
    </row>
    <row r="276" spans="10:15" x14ac:dyDescent="0.45">
      <c r="J276" s="161"/>
      <c r="K276" s="161"/>
      <c r="L276" s="161"/>
      <c r="M276" s="162"/>
      <c r="N276" s="162"/>
      <c r="O276" s="162"/>
    </row>
    <row r="277" spans="10:15" x14ac:dyDescent="0.45">
      <c r="J277" s="161"/>
      <c r="K277" s="161"/>
      <c r="L277" s="161"/>
      <c r="M277" s="162"/>
      <c r="N277" s="162"/>
      <c r="O277" s="162"/>
    </row>
    <row r="278" spans="10:15" x14ac:dyDescent="0.45">
      <c r="J278" s="161"/>
      <c r="K278" s="161"/>
      <c r="L278" s="161"/>
      <c r="M278" s="162"/>
      <c r="N278" s="162"/>
      <c r="O278" s="162"/>
    </row>
    <row r="279" spans="10:15" x14ac:dyDescent="0.45">
      <c r="J279" s="161"/>
      <c r="K279" s="161"/>
      <c r="L279" s="161"/>
      <c r="M279" s="162"/>
      <c r="N279" s="162"/>
      <c r="O279" s="162"/>
    </row>
    <row r="280" spans="10:15" x14ac:dyDescent="0.45">
      <c r="J280" s="161"/>
      <c r="K280" s="161"/>
      <c r="L280" s="161"/>
      <c r="M280" s="162"/>
      <c r="N280" s="162"/>
      <c r="O280" s="162"/>
    </row>
    <row r="281" spans="10:15" x14ac:dyDescent="0.45">
      <c r="J281" s="161"/>
      <c r="K281" s="161"/>
      <c r="L281" s="161"/>
      <c r="M281" s="162"/>
      <c r="N281" s="162"/>
      <c r="O281" s="162"/>
    </row>
    <row r="282" spans="10:15" x14ac:dyDescent="0.45">
      <c r="J282" s="161"/>
      <c r="K282" s="161"/>
      <c r="L282" s="161"/>
      <c r="M282" s="162"/>
      <c r="N282" s="162"/>
      <c r="O282" s="162"/>
    </row>
    <row r="283" spans="10:15" x14ac:dyDescent="0.45">
      <c r="J283" s="161"/>
      <c r="K283" s="161"/>
      <c r="L283" s="161"/>
      <c r="M283" s="162"/>
      <c r="N283" s="162"/>
      <c r="O283" s="162"/>
    </row>
    <row r="284" spans="10:15" x14ac:dyDescent="0.45">
      <c r="J284" s="161"/>
      <c r="K284" s="161"/>
      <c r="L284" s="161"/>
      <c r="M284" s="162"/>
      <c r="N284" s="162"/>
      <c r="O284" s="162"/>
    </row>
    <row r="285" spans="10:15" x14ac:dyDescent="0.45">
      <c r="J285" s="161"/>
      <c r="K285" s="161"/>
      <c r="L285" s="161"/>
      <c r="M285" s="162"/>
      <c r="N285" s="162"/>
      <c r="O285" s="162"/>
    </row>
    <row r="286" spans="10:15" x14ac:dyDescent="0.45">
      <c r="J286" s="161"/>
      <c r="K286" s="161"/>
      <c r="L286" s="161"/>
      <c r="M286" s="162"/>
      <c r="N286" s="162"/>
      <c r="O286" s="162"/>
    </row>
    <row r="287" spans="10:15" x14ac:dyDescent="0.45">
      <c r="J287" s="161"/>
      <c r="K287" s="161"/>
      <c r="L287" s="161"/>
      <c r="M287" s="162"/>
      <c r="N287" s="162"/>
      <c r="O287" s="162"/>
    </row>
    <row r="288" spans="10:15" x14ac:dyDescent="0.45">
      <c r="J288" s="161"/>
      <c r="K288" s="161"/>
      <c r="L288" s="161"/>
      <c r="M288" s="162"/>
      <c r="N288" s="162"/>
      <c r="O288" s="162"/>
    </row>
    <row r="289" spans="10:15" x14ac:dyDescent="0.45">
      <c r="J289" s="161"/>
      <c r="K289" s="161"/>
      <c r="L289" s="161"/>
      <c r="M289" s="162"/>
      <c r="N289" s="162"/>
      <c r="O289" s="162"/>
    </row>
    <row r="290" spans="10:15" x14ac:dyDescent="0.45">
      <c r="J290" s="161"/>
      <c r="K290" s="161"/>
      <c r="L290" s="161"/>
      <c r="M290" s="162"/>
      <c r="N290" s="162"/>
      <c r="O290" s="162"/>
    </row>
    <row r="291" spans="10:15" x14ac:dyDescent="0.45">
      <c r="J291" s="161"/>
      <c r="K291" s="161"/>
      <c r="L291" s="161"/>
      <c r="M291" s="162"/>
      <c r="N291" s="162"/>
      <c r="O291" s="162"/>
    </row>
    <row r="292" spans="10:15" x14ac:dyDescent="0.45">
      <c r="J292" s="161"/>
      <c r="K292" s="161"/>
      <c r="L292" s="161"/>
      <c r="M292" s="162"/>
      <c r="N292" s="162"/>
      <c r="O292" s="162"/>
    </row>
    <row r="293" spans="10:15" x14ac:dyDescent="0.45">
      <c r="J293" s="161"/>
      <c r="K293" s="161"/>
      <c r="L293" s="161"/>
      <c r="M293" s="162"/>
      <c r="N293" s="162"/>
      <c r="O293" s="162"/>
    </row>
    <row r="294" spans="10:15" x14ac:dyDescent="0.45">
      <c r="J294" s="161"/>
      <c r="K294" s="161"/>
      <c r="L294" s="161"/>
      <c r="M294" s="162"/>
      <c r="N294" s="162"/>
      <c r="O294" s="162"/>
    </row>
    <row r="295" spans="10:15" x14ac:dyDescent="0.45">
      <c r="J295" s="161"/>
      <c r="K295" s="161"/>
      <c r="L295" s="161"/>
      <c r="M295" s="162"/>
      <c r="N295" s="162"/>
      <c r="O295" s="162"/>
    </row>
    <row r="296" spans="10:15" x14ac:dyDescent="0.45">
      <c r="J296" s="161"/>
      <c r="K296" s="161"/>
      <c r="L296" s="161"/>
      <c r="M296" s="162"/>
      <c r="N296" s="162"/>
      <c r="O296" s="162"/>
    </row>
    <row r="297" spans="10:15" x14ac:dyDescent="0.45">
      <c r="J297" s="161"/>
      <c r="K297" s="161"/>
      <c r="L297" s="161"/>
      <c r="M297" s="162"/>
      <c r="N297" s="162"/>
      <c r="O297" s="162"/>
    </row>
    <row r="298" spans="10:15" x14ac:dyDescent="0.45">
      <c r="J298" s="161"/>
      <c r="K298" s="161"/>
      <c r="L298" s="161"/>
      <c r="M298" s="162"/>
      <c r="N298" s="162"/>
      <c r="O298" s="162"/>
    </row>
    <row r="299" spans="10:15" x14ac:dyDescent="0.45">
      <c r="J299" s="161"/>
      <c r="K299" s="161"/>
      <c r="L299" s="161"/>
      <c r="M299" s="162"/>
      <c r="N299" s="162"/>
      <c r="O299" s="162"/>
    </row>
    <row r="300" spans="10:15" x14ac:dyDescent="0.45">
      <c r="J300" s="161"/>
      <c r="K300" s="161"/>
      <c r="L300" s="161"/>
      <c r="M300" s="162"/>
      <c r="N300" s="162"/>
      <c r="O300" s="162"/>
    </row>
    <row r="301" spans="10:15" x14ac:dyDescent="0.45">
      <c r="J301" s="161"/>
      <c r="K301" s="161"/>
      <c r="L301" s="161"/>
      <c r="M301" s="162"/>
      <c r="N301" s="162"/>
      <c r="O301" s="162"/>
    </row>
    <row r="302" spans="10:15" x14ac:dyDescent="0.45">
      <c r="J302" s="161"/>
      <c r="K302" s="161"/>
      <c r="L302" s="161"/>
      <c r="M302" s="162"/>
      <c r="N302" s="162"/>
      <c r="O302" s="162"/>
    </row>
    <row r="303" spans="10:15" x14ac:dyDescent="0.45">
      <c r="J303" s="161"/>
      <c r="K303" s="161"/>
      <c r="L303" s="161"/>
      <c r="M303" s="162"/>
      <c r="N303" s="162"/>
      <c r="O303" s="162"/>
    </row>
    <row r="304" spans="10:15" x14ac:dyDescent="0.45">
      <c r="J304" s="161"/>
      <c r="K304" s="161"/>
      <c r="L304" s="161"/>
      <c r="M304" s="162"/>
      <c r="N304" s="162"/>
      <c r="O304" s="162"/>
    </row>
    <row r="305" spans="10:15" x14ac:dyDescent="0.45">
      <c r="J305" s="161"/>
      <c r="K305" s="161"/>
      <c r="L305" s="161"/>
      <c r="M305" s="162"/>
      <c r="N305" s="162"/>
      <c r="O305" s="162"/>
    </row>
    <row r="306" spans="10:15" x14ac:dyDescent="0.45">
      <c r="J306" s="161"/>
      <c r="K306" s="161"/>
      <c r="L306" s="161"/>
      <c r="M306" s="162"/>
      <c r="N306" s="162"/>
      <c r="O306" s="162"/>
    </row>
    <row r="307" spans="10:15" x14ac:dyDescent="0.45">
      <c r="J307" s="161"/>
      <c r="K307" s="161"/>
      <c r="L307" s="161"/>
      <c r="M307" s="162"/>
      <c r="N307" s="162"/>
      <c r="O307" s="162"/>
    </row>
    <row r="308" spans="10:15" x14ac:dyDescent="0.45">
      <c r="J308" s="161"/>
      <c r="K308" s="161"/>
      <c r="L308" s="161"/>
      <c r="M308" s="162"/>
      <c r="N308" s="162"/>
      <c r="O308" s="162"/>
    </row>
    <row r="309" spans="10:15" x14ac:dyDescent="0.45">
      <c r="J309" s="161"/>
      <c r="K309" s="161"/>
      <c r="L309" s="161"/>
      <c r="M309" s="162"/>
      <c r="N309" s="162"/>
      <c r="O309" s="162"/>
    </row>
    <row r="310" spans="10:15" x14ac:dyDescent="0.45">
      <c r="J310" s="161"/>
      <c r="K310" s="161"/>
      <c r="L310" s="161"/>
      <c r="M310" s="162"/>
      <c r="N310" s="162"/>
      <c r="O310" s="162"/>
    </row>
    <row r="311" spans="10:15" x14ac:dyDescent="0.45">
      <c r="J311" s="161"/>
      <c r="K311" s="161"/>
      <c r="L311" s="161"/>
      <c r="M311" s="162"/>
      <c r="N311" s="162"/>
      <c r="O311" s="162"/>
    </row>
    <row r="312" spans="10:15" x14ac:dyDescent="0.45">
      <c r="J312" s="161"/>
      <c r="K312" s="161"/>
      <c r="L312" s="161"/>
      <c r="M312" s="162"/>
      <c r="N312" s="162"/>
      <c r="O312" s="162"/>
    </row>
    <row r="313" spans="10:15" x14ac:dyDescent="0.45">
      <c r="J313" s="161"/>
      <c r="K313" s="161"/>
      <c r="L313" s="161"/>
      <c r="M313" s="162"/>
      <c r="N313" s="162"/>
      <c r="O313" s="162"/>
    </row>
    <row r="314" spans="10:15" x14ac:dyDescent="0.45">
      <c r="J314" s="161"/>
      <c r="K314" s="161"/>
      <c r="L314" s="161"/>
      <c r="M314" s="162"/>
      <c r="N314" s="162"/>
      <c r="O314" s="162"/>
    </row>
    <row r="315" spans="10:15" x14ac:dyDescent="0.45">
      <c r="J315" s="161"/>
      <c r="K315" s="161"/>
      <c r="L315" s="161"/>
      <c r="M315" s="162"/>
      <c r="N315" s="162"/>
      <c r="O315" s="162"/>
    </row>
    <row r="316" spans="10:15" x14ac:dyDescent="0.45">
      <c r="J316" s="161"/>
      <c r="K316" s="161"/>
      <c r="L316" s="161"/>
      <c r="M316" s="162"/>
      <c r="N316" s="162"/>
      <c r="O316" s="162"/>
    </row>
    <row r="317" spans="10:15" x14ac:dyDescent="0.45">
      <c r="J317" s="161"/>
      <c r="K317" s="161"/>
      <c r="L317" s="161"/>
      <c r="M317" s="162"/>
      <c r="N317" s="162"/>
      <c r="O317" s="162"/>
    </row>
    <row r="318" spans="10:15" x14ac:dyDescent="0.45">
      <c r="J318" s="161"/>
      <c r="K318" s="161"/>
      <c r="L318" s="161"/>
      <c r="M318" s="162"/>
      <c r="N318" s="162"/>
      <c r="O318" s="162"/>
    </row>
    <row r="319" spans="10:15" x14ac:dyDescent="0.45">
      <c r="J319" s="161"/>
      <c r="K319" s="161"/>
      <c r="L319" s="161"/>
      <c r="M319" s="162"/>
      <c r="N319" s="162"/>
      <c r="O319" s="162"/>
    </row>
    <row r="320" spans="10:15" x14ac:dyDescent="0.45">
      <c r="J320" s="161"/>
      <c r="K320" s="161"/>
      <c r="L320" s="161"/>
      <c r="M320" s="162"/>
      <c r="N320" s="162"/>
      <c r="O320" s="162"/>
    </row>
    <row r="321" spans="10:15" x14ac:dyDescent="0.45">
      <c r="J321" s="161"/>
      <c r="K321" s="161"/>
      <c r="L321" s="161"/>
      <c r="M321" s="162"/>
      <c r="N321" s="162"/>
      <c r="O321" s="162"/>
    </row>
    <row r="322" spans="10:15" x14ac:dyDescent="0.45">
      <c r="J322" s="161"/>
      <c r="K322" s="161"/>
      <c r="L322" s="161"/>
      <c r="M322" s="162"/>
      <c r="N322" s="162"/>
      <c r="O322" s="162"/>
    </row>
    <row r="323" spans="10:15" x14ac:dyDescent="0.45">
      <c r="J323" s="161"/>
      <c r="K323" s="161"/>
      <c r="L323" s="161"/>
      <c r="M323" s="162"/>
      <c r="N323" s="162"/>
      <c r="O323" s="162"/>
    </row>
    <row r="324" spans="10:15" x14ac:dyDescent="0.45">
      <c r="J324" s="161"/>
      <c r="K324" s="161"/>
      <c r="L324" s="161"/>
      <c r="M324" s="162"/>
      <c r="N324" s="162"/>
      <c r="O324" s="162"/>
    </row>
    <row r="325" spans="10:15" x14ac:dyDescent="0.45">
      <c r="J325" s="161"/>
      <c r="K325" s="161"/>
      <c r="L325" s="161"/>
      <c r="M325" s="162"/>
      <c r="N325" s="162"/>
      <c r="O325" s="162"/>
    </row>
    <row r="326" spans="10:15" x14ac:dyDescent="0.45">
      <c r="J326" s="161"/>
      <c r="K326" s="161"/>
      <c r="L326" s="161"/>
      <c r="M326" s="162"/>
      <c r="N326" s="162"/>
      <c r="O326" s="162"/>
    </row>
    <row r="327" spans="10:15" x14ac:dyDescent="0.45">
      <c r="J327" s="161"/>
      <c r="K327" s="161"/>
      <c r="L327" s="161"/>
      <c r="M327" s="162"/>
      <c r="N327" s="162"/>
      <c r="O327" s="162"/>
    </row>
    <row r="328" spans="10:15" x14ac:dyDescent="0.45">
      <c r="J328" s="161"/>
      <c r="K328" s="161"/>
      <c r="L328" s="161"/>
      <c r="M328" s="162"/>
      <c r="N328" s="162"/>
      <c r="O328" s="162"/>
    </row>
    <row r="329" spans="10:15" x14ac:dyDescent="0.45">
      <c r="J329" s="161"/>
      <c r="K329" s="161"/>
      <c r="L329" s="161"/>
      <c r="M329" s="162"/>
      <c r="N329" s="162"/>
      <c r="O329" s="162"/>
    </row>
    <row r="330" spans="10:15" x14ac:dyDescent="0.45">
      <c r="J330" s="161"/>
      <c r="K330" s="161"/>
      <c r="L330" s="161"/>
      <c r="M330" s="162"/>
      <c r="N330" s="162"/>
      <c r="O330" s="162"/>
    </row>
    <row r="331" spans="10:15" x14ac:dyDescent="0.45">
      <c r="J331" s="161"/>
      <c r="K331" s="161"/>
      <c r="L331" s="161"/>
      <c r="M331" s="162"/>
      <c r="N331" s="162"/>
      <c r="O331" s="162"/>
    </row>
    <row r="332" spans="10:15" x14ac:dyDescent="0.45">
      <c r="J332" s="161"/>
      <c r="K332" s="161"/>
      <c r="L332" s="161"/>
      <c r="M332" s="162"/>
      <c r="N332" s="162"/>
      <c r="O332" s="162"/>
    </row>
    <row r="333" spans="10:15" x14ac:dyDescent="0.45">
      <c r="J333" s="161"/>
      <c r="K333" s="161"/>
      <c r="L333" s="161"/>
      <c r="M333" s="162"/>
      <c r="N333" s="162"/>
      <c r="O333" s="162"/>
    </row>
    <row r="334" spans="10:15" x14ac:dyDescent="0.45">
      <c r="J334" s="161"/>
      <c r="K334" s="161"/>
      <c r="L334" s="161"/>
      <c r="M334" s="162"/>
      <c r="N334" s="162"/>
      <c r="O334" s="162"/>
    </row>
    <row r="335" spans="10:15" x14ac:dyDescent="0.45">
      <c r="J335" s="161"/>
      <c r="K335" s="161"/>
      <c r="L335" s="161"/>
      <c r="M335" s="162"/>
      <c r="N335" s="162"/>
      <c r="O335" s="162"/>
    </row>
    <row r="336" spans="10:15" x14ac:dyDescent="0.45">
      <c r="J336" s="161"/>
      <c r="K336" s="161"/>
      <c r="L336" s="161"/>
      <c r="M336" s="162"/>
      <c r="N336" s="162"/>
      <c r="O336" s="162"/>
    </row>
    <row r="337" spans="10:15" x14ac:dyDescent="0.45">
      <c r="J337" s="161"/>
      <c r="K337" s="161"/>
      <c r="L337" s="161"/>
      <c r="M337" s="162"/>
      <c r="N337" s="162"/>
      <c r="O337" s="162"/>
    </row>
    <row r="338" spans="10:15" x14ac:dyDescent="0.45">
      <c r="J338" s="161"/>
      <c r="K338" s="161"/>
      <c r="L338" s="161"/>
      <c r="M338" s="162"/>
      <c r="N338" s="162"/>
      <c r="O338" s="162"/>
    </row>
    <row r="339" spans="10:15" x14ac:dyDescent="0.45">
      <c r="J339" s="161"/>
      <c r="K339" s="161"/>
      <c r="L339" s="161"/>
      <c r="M339" s="162"/>
      <c r="N339" s="162"/>
      <c r="O339" s="162"/>
    </row>
    <row r="340" spans="10:15" x14ac:dyDescent="0.45">
      <c r="J340" s="161"/>
      <c r="K340" s="161"/>
      <c r="L340" s="161"/>
      <c r="M340" s="162"/>
      <c r="N340" s="162"/>
      <c r="O340" s="162"/>
    </row>
    <row r="341" spans="10:15" x14ac:dyDescent="0.45">
      <c r="J341" s="161"/>
      <c r="K341" s="161"/>
      <c r="L341" s="161"/>
      <c r="M341" s="162"/>
      <c r="N341" s="162"/>
      <c r="O341" s="162"/>
    </row>
    <row r="342" spans="10:15" x14ac:dyDescent="0.45">
      <c r="J342" s="161"/>
      <c r="K342" s="161"/>
      <c r="L342" s="161"/>
      <c r="M342" s="162"/>
      <c r="N342" s="162"/>
      <c r="O342" s="162"/>
    </row>
    <row r="343" spans="10:15" x14ac:dyDescent="0.45">
      <c r="J343" s="161"/>
      <c r="K343" s="161"/>
      <c r="L343" s="161"/>
      <c r="M343" s="162"/>
      <c r="N343" s="162"/>
      <c r="O343" s="162"/>
    </row>
    <row r="344" spans="10:15" x14ac:dyDescent="0.45">
      <c r="J344" s="161"/>
      <c r="K344" s="161"/>
      <c r="L344" s="161"/>
      <c r="M344" s="162"/>
      <c r="N344" s="162"/>
      <c r="O344" s="162"/>
    </row>
    <row r="345" spans="10:15" x14ac:dyDescent="0.45">
      <c r="J345" s="161"/>
      <c r="K345" s="161"/>
      <c r="L345" s="161"/>
      <c r="M345" s="162"/>
      <c r="N345" s="162"/>
      <c r="O345" s="162"/>
    </row>
    <row r="346" spans="10:15" x14ac:dyDescent="0.45">
      <c r="J346" s="161"/>
      <c r="K346" s="161"/>
      <c r="L346" s="161"/>
      <c r="M346" s="162"/>
      <c r="N346" s="162"/>
      <c r="O346" s="162"/>
    </row>
    <row r="347" spans="10:15" x14ac:dyDescent="0.45">
      <c r="J347" s="161"/>
      <c r="K347" s="161"/>
      <c r="L347" s="161"/>
      <c r="M347" s="162"/>
      <c r="N347" s="162"/>
      <c r="O347" s="162"/>
    </row>
    <row r="348" spans="10:15" x14ac:dyDescent="0.45">
      <c r="J348" s="161"/>
      <c r="K348" s="161"/>
      <c r="L348" s="161"/>
      <c r="M348" s="162"/>
      <c r="N348" s="162"/>
      <c r="O348" s="162"/>
    </row>
    <row r="349" spans="10:15" x14ac:dyDescent="0.45">
      <c r="J349" s="161"/>
      <c r="K349" s="161"/>
      <c r="L349" s="161"/>
      <c r="M349" s="162"/>
      <c r="N349" s="162"/>
      <c r="O349" s="162"/>
    </row>
    <row r="350" spans="10:15" x14ac:dyDescent="0.45">
      <c r="J350" s="161"/>
      <c r="K350" s="161"/>
      <c r="L350" s="161"/>
      <c r="M350" s="162"/>
      <c r="N350" s="162"/>
      <c r="O350" s="162"/>
    </row>
    <row r="351" spans="10:15" x14ac:dyDescent="0.45">
      <c r="J351" s="161"/>
      <c r="K351" s="161"/>
      <c r="L351" s="161"/>
      <c r="M351" s="162"/>
      <c r="N351" s="162"/>
      <c r="O351" s="162"/>
    </row>
    <row r="352" spans="10:15" x14ac:dyDescent="0.45">
      <c r="J352" s="161"/>
      <c r="K352" s="161"/>
      <c r="L352" s="161"/>
      <c r="M352" s="162"/>
      <c r="N352" s="162"/>
      <c r="O352" s="162"/>
    </row>
    <row r="353" spans="10:15" x14ac:dyDescent="0.45">
      <c r="J353" s="161"/>
      <c r="K353" s="161"/>
      <c r="L353" s="161"/>
      <c r="M353" s="162"/>
      <c r="N353" s="162"/>
      <c r="O353" s="162"/>
    </row>
    <row r="354" spans="10:15" x14ac:dyDescent="0.45">
      <c r="J354" s="161"/>
      <c r="K354" s="161"/>
      <c r="L354" s="161"/>
      <c r="M354" s="162"/>
      <c r="N354" s="162"/>
      <c r="O354" s="162"/>
    </row>
    <row r="355" spans="10:15" x14ac:dyDescent="0.45">
      <c r="J355" s="161"/>
      <c r="K355" s="161"/>
      <c r="L355" s="161"/>
      <c r="M355" s="162"/>
      <c r="N355" s="162"/>
      <c r="O355" s="162"/>
    </row>
    <row r="356" spans="10:15" x14ac:dyDescent="0.45">
      <c r="J356" s="161"/>
      <c r="K356" s="161"/>
      <c r="L356" s="161"/>
      <c r="M356" s="162"/>
      <c r="N356" s="162"/>
      <c r="O356" s="162"/>
    </row>
    <row r="357" spans="10:15" x14ac:dyDescent="0.45">
      <c r="J357" s="161"/>
      <c r="K357" s="161"/>
      <c r="L357" s="161"/>
      <c r="M357" s="162"/>
      <c r="N357" s="162"/>
      <c r="O357" s="162"/>
    </row>
    <row r="358" spans="10:15" x14ac:dyDescent="0.45">
      <c r="J358" s="161"/>
      <c r="K358" s="161"/>
      <c r="L358" s="161"/>
      <c r="M358" s="162"/>
      <c r="N358" s="162"/>
      <c r="O358" s="162"/>
    </row>
    <row r="359" spans="10:15" x14ac:dyDescent="0.45">
      <c r="J359" s="161"/>
      <c r="K359" s="161"/>
      <c r="L359" s="161"/>
      <c r="M359" s="162"/>
      <c r="N359" s="162"/>
      <c r="O359" s="162"/>
    </row>
    <row r="360" spans="10:15" x14ac:dyDescent="0.45">
      <c r="J360" s="161"/>
      <c r="K360" s="161"/>
      <c r="L360" s="161"/>
      <c r="M360" s="162"/>
      <c r="N360" s="162"/>
      <c r="O360" s="162"/>
    </row>
    <row r="361" spans="10:15" x14ac:dyDescent="0.45">
      <c r="J361" s="161"/>
      <c r="K361" s="161"/>
      <c r="L361" s="161"/>
      <c r="M361" s="162"/>
      <c r="N361" s="162"/>
      <c r="O361" s="162"/>
    </row>
    <row r="362" spans="10:15" x14ac:dyDescent="0.45">
      <c r="J362" s="161"/>
      <c r="K362" s="161"/>
      <c r="L362" s="161"/>
      <c r="M362" s="162"/>
      <c r="N362" s="162"/>
      <c r="O362" s="162"/>
    </row>
    <row r="363" spans="10:15" x14ac:dyDescent="0.45">
      <c r="J363" s="161"/>
      <c r="K363" s="161"/>
      <c r="L363" s="161"/>
      <c r="M363" s="162"/>
      <c r="N363" s="162"/>
      <c r="O363" s="162"/>
    </row>
    <row r="364" spans="10:15" x14ac:dyDescent="0.45">
      <c r="J364" s="161"/>
      <c r="K364" s="161"/>
      <c r="L364" s="161"/>
      <c r="M364" s="162"/>
      <c r="N364" s="162"/>
      <c r="O364" s="162"/>
    </row>
    <row r="365" spans="10:15" x14ac:dyDescent="0.45">
      <c r="J365" s="161"/>
      <c r="K365" s="161"/>
      <c r="L365" s="161"/>
      <c r="M365" s="162"/>
      <c r="N365" s="162"/>
      <c r="O365" s="162"/>
    </row>
    <row r="366" spans="10:15" x14ac:dyDescent="0.45">
      <c r="J366" s="161"/>
      <c r="K366" s="161"/>
      <c r="L366" s="161"/>
      <c r="M366" s="162"/>
      <c r="N366" s="162"/>
      <c r="O366" s="162"/>
    </row>
    <row r="367" spans="10:15" x14ac:dyDescent="0.45">
      <c r="J367" s="161"/>
      <c r="K367" s="161"/>
      <c r="L367" s="161"/>
      <c r="M367" s="162"/>
      <c r="N367" s="162"/>
      <c r="O367" s="162"/>
    </row>
    <row r="368" spans="10:15" x14ac:dyDescent="0.45">
      <c r="J368" s="161"/>
      <c r="K368" s="161"/>
      <c r="L368" s="161"/>
      <c r="M368" s="162"/>
      <c r="N368" s="162"/>
      <c r="O368" s="162"/>
    </row>
    <row r="369" spans="10:15" x14ac:dyDescent="0.45">
      <c r="J369" s="161"/>
      <c r="K369" s="161"/>
      <c r="L369" s="161"/>
      <c r="M369" s="162"/>
      <c r="N369" s="162"/>
      <c r="O369" s="162"/>
    </row>
    <row r="370" spans="10:15" x14ac:dyDescent="0.45">
      <c r="J370" s="161"/>
      <c r="K370" s="161"/>
      <c r="L370" s="161"/>
      <c r="M370" s="162"/>
      <c r="N370" s="162"/>
      <c r="O370" s="162"/>
    </row>
    <row r="371" spans="10:15" x14ac:dyDescent="0.45">
      <c r="J371" s="161"/>
      <c r="K371" s="161"/>
      <c r="L371" s="161"/>
      <c r="M371" s="162"/>
      <c r="N371" s="162"/>
      <c r="O371" s="162"/>
    </row>
    <row r="372" spans="10:15" x14ac:dyDescent="0.45">
      <c r="J372" s="161"/>
      <c r="K372" s="161"/>
      <c r="L372" s="161"/>
      <c r="M372" s="162"/>
      <c r="N372" s="162"/>
      <c r="O372" s="162"/>
    </row>
    <row r="373" spans="10:15" x14ac:dyDescent="0.45">
      <c r="J373" s="161"/>
      <c r="K373" s="161"/>
      <c r="L373" s="161"/>
      <c r="M373" s="162"/>
      <c r="N373" s="162"/>
      <c r="O373" s="162"/>
    </row>
    <row r="374" spans="10:15" x14ac:dyDescent="0.45">
      <c r="J374" s="161"/>
      <c r="K374" s="161"/>
      <c r="L374" s="161"/>
      <c r="M374" s="162"/>
      <c r="N374" s="162"/>
      <c r="O374" s="162"/>
    </row>
    <row r="375" spans="10:15" x14ac:dyDescent="0.45">
      <c r="J375" s="161"/>
      <c r="K375" s="161"/>
      <c r="L375" s="161"/>
      <c r="M375" s="162"/>
      <c r="N375" s="162"/>
      <c r="O375" s="162"/>
    </row>
    <row r="376" spans="10:15" x14ac:dyDescent="0.45">
      <c r="J376" s="161"/>
      <c r="K376" s="161"/>
      <c r="L376" s="161"/>
      <c r="M376" s="162"/>
      <c r="N376" s="162"/>
      <c r="O376" s="162"/>
    </row>
    <row r="377" spans="10:15" x14ac:dyDescent="0.45">
      <c r="J377" s="161"/>
      <c r="K377" s="161"/>
      <c r="L377" s="161"/>
      <c r="M377" s="162"/>
      <c r="N377" s="162"/>
      <c r="O377" s="162"/>
    </row>
    <row r="378" spans="10:15" x14ac:dyDescent="0.45">
      <c r="J378" s="161"/>
      <c r="K378" s="161"/>
      <c r="L378" s="161"/>
      <c r="M378" s="162"/>
      <c r="N378" s="162"/>
      <c r="O378" s="162"/>
    </row>
    <row r="379" spans="10:15" x14ac:dyDescent="0.45">
      <c r="J379" s="161"/>
      <c r="K379" s="161"/>
      <c r="L379" s="161"/>
      <c r="M379" s="162"/>
      <c r="N379" s="162"/>
      <c r="O379" s="162"/>
    </row>
    <row r="380" spans="10:15" x14ac:dyDescent="0.45">
      <c r="J380" s="161"/>
      <c r="K380" s="161"/>
      <c r="L380" s="161"/>
      <c r="M380" s="162"/>
      <c r="N380" s="162"/>
      <c r="O380" s="162"/>
    </row>
    <row r="381" spans="10:15" x14ac:dyDescent="0.45">
      <c r="J381" s="161"/>
      <c r="K381" s="161"/>
      <c r="L381" s="161"/>
      <c r="M381" s="162"/>
      <c r="N381" s="162"/>
      <c r="O381" s="162"/>
    </row>
    <row r="382" spans="10:15" x14ac:dyDescent="0.45">
      <c r="J382" s="161"/>
      <c r="K382" s="161"/>
      <c r="L382" s="161"/>
      <c r="M382" s="162"/>
      <c r="N382" s="162"/>
      <c r="O382" s="162"/>
    </row>
    <row r="383" spans="10:15" x14ac:dyDescent="0.45">
      <c r="J383" s="161"/>
      <c r="K383" s="161"/>
      <c r="L383" s="161"/>
      <c r="M383" s="162"/>
      <c r="N383" s="162"/>
      <c r="O383" s="162"/>
    </row>
    <row r="384" spans="10:15" x14ac:dyDescent="0.45">
      <c r="J384" s="161"/>
      <c r="K384" s="161"/>
      <c r="L384" s="161"/>
      <c r="M384" s="162"/>
      <c r="N384" s="162"/>
      <c r="O384" s="162"/>
    </row>
    <row r="385" spans="10:15" x14ac:dyDescent="0.45">
      <c r="J385" s="161"/>
      <c r="K385" s="161"/>
      <c r="L385" s="161"/>
      <c r="M385" s="162"/>
      <c r="N385" s="162"/>
      <c r="O385" s="162"/>
    </row>
    <row r="386" spans="10:15" x14ac:dyDescent="0.45">
      <c r="J386" s="161"/>
      <c r="K386" s="161"/>
      <c r="L386" s="161"/>
      <c r="M386" s="162"/>
      <c r="N386" s="162"/>
      <c r="O386" s="162"/>
    </row>
    <row r="387" spans="10:15" x14ac:dyDescent="0.45">
      <c r="J387" s="161"/>
      <c r="K387" s="161"/>
      <c r="L387" s="161"/>
      <c r="M387" s="162"/>
      <c r="N387" s="162"/>
      <c r="O387" s="162"/>
    </row>
    <row r="388" spans="10:15" x14ac:dyDescent="0.45">
      <c r="J388" s="161"/>
      <c r="K388" s="161"/>
      <c r="L388" s="161"/>
      <c r="M388" s="162"/>
      <c r="N388" s="162"/>
      <c r="O388" s="162"/>
    </row>
    <row r="389" spans="10:15" x14ac:dyDescent="0.45">
      <c r="J389" s="161"/>
      <c r="K389" s="161"/>
      <c r="L389" s="161"/>
      <c r="M389" s="162"/>
      <c r="N389" s="162"/>
      <c r="O389" s="162"/>
    </row>
    <row r="390" spans="10:15" x14ac:dyDescent="0.45">
      <c r="J390" s="161"/>
      <c r="K390" s="161"/>
      <c r="L390" s="161"/>
      <c r="M390" s="162"/>
      <c r="N390" s="162"/>
      <c r="O390" s="162"/>
    </row>
    <row r="391" spans="10:15" x14ac:dyDescent="0.45">
      <c r="J391" s="161"/>
      <c r="K391" s="161"/>
      <c r="L391" s="161"/>
      <c r="M391" s="162"/>
      <c r="N391" s="162"/>
      <c r="O391" s="162"/>
    </row>
    <row r="392" spans="10:15" x14ac:dyDescent="0.45">
      <c r="J392" s="161"/>
      <c r="K392" s="161"/>
      <c r="L392" s="161"/>
      <c r="M392" s="162"/>
      <c r="N392" s="162"/>
      <c r="O392" s="162"/>
    </row>
    <row r="393" spans="10:15" x14ac:dyDescent="0.45">
      <c r="J393" s="161"/>
      <c r="K393" s="161"/>
      <c r="L393" s="161"/>
      <c r="M393" s="162"/>
      <c r="N393" s="162"/>
      <c r="O393" s="162"/>
    </row>
    <row r="394" spans="10:15" x14ac:dyDescent="0.45">
      <c r="J394" s="161"/>
      <c r="K394" s="161"/>
      <c r="L394" s="161"/>
      <c r="M394" s="162"/>
      <c r="N394" s="162"/>
      <c r="O394" s="162"/>
    </row>
    <row r="395" spans="10:15" x14ac:dyDescent="0.45">
      <c r="J395" s="161"/>
      <c r="K395" s="161"/>
      <c r="L395" s="161"/>
      <c r="M395" s="162"/>
      <c r="N395" s="162"/>
      <c r="O395" s="162"/>
    </row>
    <row r="396" spans="10:15" x14ac:dyDescent="0.45">
      <c r="J396" s="161"/>
      <c r="K396" s="161"/>
      <c r="L396" s="161"/>
      <c r="M396" s="162"/>
      <c r="N396" s="162"/>
      <c r="O396" s="162"/>
    </row>
    <row r="397" spans="10:15" x14ac:dyDescent="0.45">
      <c r="J397" s="161"/>
      <c r="K397" s="161"/>
      <c r="L397" s="161"/>
      <c r="M397" s="162"/>
      <c r="N397" s="162"/>
      <c r="O397" s="162"/>
    </row>
    <row r="398" spans="10:15" x14ac:dyDescent="0.45">
      <c r="J398" s="161"/>
      <c r="K398" s="161"/>
      <c r="L398" s="161"/>
      <c r="M398" s="162"/>
      <c r="N398" s="162"/>
      <c r="O398" s="162"/>
    </row>
    <row r="399" spans="10:15" x14ac:dyDescent="0.45">
      <c r="J399" s="161"/>
      <c r="K399" s="161"/>
      <c r="L399" s="161"/>
      <c r="M399" s="162"/>
      <c r="N399" s="162"/>
      <c r="O399" s="162"/>
    </row>
    <row r="400" spans="10:15" x14ac:dyDescent="0.45">
      <c r="J400" s="161"/>
      <c r="K400" s="161"/>
      <c r="L400" s="161"/>
      <c r="M400" s="162"/>
      <c r="N400" s="162"/>
      <c r="O400" s="162"/>
    </row>
    <row r="401" spans="10:15" x14ac:dyDescent="0.45">
      <c r="J401" s="161"/>
      <c r="K401" s="161"/>
      <c r="L401" s="161"/>
      <c r="M401" s="162"/>
      <c r="N401" s="162"/>
      <c r="O401" s="162"/>
    </row>
    <row r="402" spans="10:15" x14ac:dyDescent="0.45">
      <c r="J402" s="161"/>
      <c r="K402" s="161"/>
      <c r="L402" s="161"/>
      <c r="M402" s="162"/>
      <c r="N402" s="162"/>
      <c r="O402" s="162"/>
    </row>
    <row r="403" spans="10:15" x14ac:dyDescent="0.45">
      <c r="J403" s="161"/>
      <c r="K403" s="161"/>
      <c r="L403" s="161"/>
      <c r="M403" s="162"/>
      <c r="N403" s="162"/>
      <c r="O403" s="162"/>
    </row>
    <row r="404" spans="10:15" x14ac:dyDescent="0.45">
      <c r="J404" s="161"/>
      <c r="K404" s="161"/>
      <c r="L404" s="161"/>
      <c r="M404" s="162"/>
      <c r="N404" s="162"/>
      <c r="O404" s="162"/>
    </row>
    <row r="405" spans="10:15" x14ac:dyDescent="0.45">
      <c r="J405" s="161"/>
      <c r="K405" s="161"/>
      <c r="L405" s="161"/>
      <c r="M405" s="162"/>
      <c r="N405" s="162"/>
      <c r="O405" s="162"/>
    </row>
    <row r="406" spans="10:15" x14ac:dyDescent="0.45">
      <c r="J406" s="161"/>
      <c r="K406" s="161"/>
      <c r="L406" s="161"/>
      <c r="M406" s="162"/>
      <c r="N406" s="162"/>
      <c r="O406" s="162"/>
    </row>
    <row r="407" spans="10:15" x14ac:dyDescent="0.45">
      <c r="J407" s="161"/>
      <c r="K407" s="161"/>
      <c r="L407" s="161"/>
      <c r="M407" s="162"/>
      <c r="N407" s="162"/>
      <c r="O407" s="162"/>
    </row>
    <row r="408" spans="10:15" x14ac:dyDescent="0.45">
      <c r="J408" s="161"/>
      <c r="K408" s="161"/>
      <c r="L408" s="161"/>
      <c r="M408" s="162"/>
      <c r="N408" s="162"/>
      <c r="O408" s="162"/>
    </row>
    <row r="409" spans="10:15" x14ac:dyDescent="0.45">
      <c r="J409" s="161"/>
      <c r="K409" s="161"/>
      <c r="L409" s="161"/>
      <c r="M409" s="162"/>
      <c r="N409" s="162"/>
      <c r="O409" s="162"/>
    </row>
    <row r="410" spans="10:15" x14ac:dyDescent="0.45">
      <c r="J410" s="161"/>
      <c r="K410" s="161"/>
      <c r="L410" s="161"/>
      <c r="M410" s="162"/>
      <c r="N410" s="162"/>
      <c r="O410" s="162"/>
    </row>
    <row r="411" spans="10:15" x14ac:dyDescent="0.45">
      <c r="J411" s="161"/>
      <c r="K411" s="161"/>
      <c r="L411" s="161"/>
      <c r="M411" s="162"/>
      <c r="N411" s="162"/>
      <c r="O411" s="162"/>
    </row>
    <row r="412" spans="10:15" x14ac:dyDescent="0.45">
      <c r="J412" s="161"/>
      <c r="K412" s="161"/>
      <c r="L412" s="161"/>
      <c r="M412" s="162"/>
      <c r="N412" s="162"/>
      <c r="O412" s="162"/>
    </row>
    <row r="413" spans="10:15" x14ac:dyDescent="0.45">
      <c r="J413" s="161"/>
      <c r="K413" s="161"/>
      <c r="L413" s="161"/>
      <c r="M413" s="162"/>
      <c r="N413" s="162"/>
      <c r="O413" s="162"/>
    </row>
    <row r="414" spans="10:15" x14ac:dyDescent="0.45">
      <c r="J414" s="161"/>
      <c r="K414" s="161"/>
      <c r="L414" s="161"/>
      <c r="M414" s="162"/>
      <c r="N414" s="162"/>
      <c r="O414" s="162"/>
    </row>
    <row r="415" spans="10:15" x14ac:dyDescent="0.45">
      <c r="J415" s="161"/>
      <c r="K415" s="161"/>
      <c r="L415" s="161"/>
      <c r="M415" s="162"/>
      <c r="N415" s="162"/>
      <c r="O415" s="162"/>
    </row>
    <row r="416" spans="10:15" x14ac:dyDescent="0.45">
      <c r="J416" s="161"/>
      <c r="K416" s="161"/>
      <c r="L416" s="161"/>
      <c r="M416" s="162"/>
      <c r="N416" s="162"/>
      <c r="O416" s="162"/>
    </row>
    <row r="417" spans="10:15" x14ac:dyDescent="0.45">
      <c r="J417" s="161"/>
      <c r="K417" s="161"/>
      <c r="L417" s="161"/>
      <c r="M417" s="162"/>
      <c r="N417" s="162"/>
      <c r="O417" s="162"/>
    </row>
    <row r="418" spans="10:15" x14ac:dyDescent="0.45">
      <c r="J418" s="161"/>
      <c r="K418" s="161"/>
      <c r="L418" s="161"/>
      <c r="M418" s="162"/>
      <c r="N418" s="162"/>
      <c r="O418" s="162"/>
    </row>
    <row r="419" spans="10:15" x14ac:dyDescent="0.45">
      <c r="J419" s="161"/>
      <c r="K419" s="161"/>
      <c r="L419" s="161"/>
      <c r="M419" s="162"/>
      <c r="N419" s="162"/>
      <c r="O419" s="162"/>
    </row>
    <row r="420" spans="10:15" x14ac:dyDescent="0.45">
      <c r="J420" s="161"/>
      <c r="K420" s="161"/>
      <c r="L420" s="161"/>
      <c r="M420" s="162"/>
      <c r="N420" s="162"/>
      <c r="O420" s="162"/>
    </row>
    <row r="421" spans="10:15" x14ac:dyDescent="0.45">
      <c r="J421" s="161"/>
      <c r="K421" s="161"/>
      <c r="L421" s="161"/>
      <c r="M421" s="162"/>
      <c r="N421" s="162"/>
      <c r="O421" s="162"/>
    </row>
    <row r="422" spans="10:15" x14ac:dyDescent="0.45">
      <c r="J422" s="161"/>
      <c r="K422" s="161"/>
      <c r="L422" s="161"/>
      <c r="M422" s="162"/>
      <c r="N422" s="162"/>
      <c r="O422" s="162"/>
    </row>
    <row r="423" spans="10:15" x14ac:dyDescent="0.45">
      <c r="J423" s="161"/>
      <c r="K423" s="161"/>
      <c r="L423" s="161"/>
      <c r="M423" s="162"/>
      <c r="N423" s="162"/>
      <c r="O423" s="162"/>
    </row>
    <row r="424" spans="10:15" x14ac:dyDescent="0.45">
      <c r="J424" s="161"/>
      <c r="K424" s="161"/>
      <c r="L424" s="161"/>
      <c r="M424" s="162"/>
      <c r="N424" s="162"/>
      <c r="O424" s="162"/>
    </row>
    <row r="425" spans="10:15" x14ac:dyDescent="0.45">
      <c r="J425" s="161"/>
      <c r="K425" s="161"/>
      <c r="L425" s="161"/>
      <c r="M425" s="162"/>
      <c r="N425" s="162"/>
      <c r="O425" s="162"/>
    </row>
    <row r="426" spans="10:15" x14ac:dyDescent="0.45">
      <c r="J426" s="161"/>
      <c r="K426" s="161"/>
      <c r="L426" s="161"/>
      <c r="M426" s="162"/>
      <c r="N426" s="162"/>
      <c r="O426" s="162"/>
    </row>
    <row r="427" spans="10:15" x14ac:dyDescent="0.45">
      <c r="J427" s="161"/>
      <c r="K427" s="161"/>
      <c r="L427" s="161"/>
      <c r="M427" s="162"/>
      <c r="N427" s="162"/>
      <c r="O427" s="162"/>
    </row>
    <row r="428" spans="10:15" x14ac:dyDescent="0.45">
      <c r="J428" s="161"/>
      <c r="K428" s="161"/>
      <c r="L428" s="161"/>
      <c r="M428" s="162"/>
      <c r="N428" s="162"/>
      <c r="O428" s="162"/>
    </row>
    <row r="429" spans="10:15" x14ac:dyDescent="0.45">
      <c r="J429" s="161"/>
      <c r="K429" s="161"/>
      <c r="L429" s="161"/>
      <c r="M429" s="162"/>
      <c r="N429" s="162"/>
      <c r="O429" s="162"/>
    </row>
    <row r="430" spans="10:15" x14ac:dyDescent="0.45">
      <c r="J430" s="161"/>
      <c r="K430" s="161"/>
      <c r="L430" s="161"/>
      <c r="M430" s="162"/>
      <c r="N430" s="162"/>
      <c r="O430" s="162"/>
    </row>
    <row r="431" spans="10:15" x14ac:dyDescent="0.45">
      <c r="J431" s="161"/>
      <c r="K431" s="161"/>
      <c r="L431" s="161"/>
      <c r="M431" s="162"/>
      <c r="N431" s="162"/>
      <c r="O431" s="162"/>
    </row>
    <row r="432" spans="10:15" x14ac:dyDescent="0.45">
      <c r="J432" s="161"/>
      <c r="K432" s="161"/>
      <c r="L432" s="161"/>
      <c r="M432" s="162"/>
      <c r="N432" s="162"/>
      <c r="O432" s="162"/>
    </row>
    <row r="433" spans="10:15" x14ac:dyDescent="0.45">
      <c r="J433" s="161"/>
      <c r="K433" s="161"/>
      <c r="L433" s="161"/>
      <c r="M433" s="162"/>
      <c r="N433" s="162"/>
      <c r="O433" s="162"/>
    </row>
    <row r="434" spans="10:15" x14ac:dyDescent="0.45">
      <c r="J434" s="161"/>
      <c r="K434" s="161"/>
      <c r="L434" s="161"/>
      <c r="M434" s="162"/>
      <c r="N434" s="162"/>
      <c r="O434" s="162"/>
    </row>
    <row r="435" spans="10:15" x14ac:dyDescent="0.45">
      <c r="J435" s="161"/>
      <c r="K435" s="161"/>
      <c r="L435" s="161"/>
      <c r="M435" s="162"/>
      <c r="N435" s="162"/>
      <c r="O435" s="162"/>
    </row>
    <row r="436" spans="10:15" x14ac:dyDescent="0.45">
      <c r="J436" s="161"/>
      <c r="K436" s="161"/>
      <c r="L436" s="161"/>
      <c r="M436" s="162"/>
      <c r="N436" s="162"/>
      <c r="O436" s="162"/>
    </row>
    <row r="437" spans="10:15" x14ac:dyDescent="0.45">
      <c r="J437" s="161"/>
      <c r="K437" s="161"/>
      <c r="L437" s="161"/>
      <c r="M437" s="162"/>
      <c r="N437" s="162"/>
      <c r="O437" s="162"/>
    </row>
    <row r="438" spans="10:15" x14ac:dyDescent="0.45">
      <c r="J438" s="161"/>
      <c r="K438" s="161"/>
      <c r="L438" s="161"/>
      <c r="M438" s="162"/>
      <c r="N438" s="162"/>
      <c r="O438" s="162"/>
    </row>
    <row r="439" spans="10:15" x14ac:dyDescent="0.45">
      <c r="J439" s="161"/>
      <c r="K439" s="161"/>
      <c r="L439" s="161"/>
      <c r="M439" s="162"/>
      <c r="N439" s="162"/>
      <c r="O439" s="162"/>
    </row>
    <row r="440" spans="10:15" x14ac:dyDescent="0.45">
      <c r="J440" s="161"/>
      <c r="K440" s="161"/>
      <c r="L440" s="161"/>
      <c r="M440" s="162"/>
      <c r="N440" s="162"/>
      <c r="O440" s="162"/>
    </row>
    <row r="441" spans="10:15" x14ac:dyDescent="0.45">
      <c r="J441" s="161"/>
      <c r="K441" s="161"/>
      <c r="L441" s="161"/>
      <c r="M441" s="162"/>
      <c r="N441" s="162"/>
      <c r="O441" s="162"/>
    </row>
    <row r="442" spans="10:15" x14ac:dyDescent="0.45">
      <c r="J442" s="161"/>
      <c r="K442" s="161"/>
      <c r="L442" s="161"/>
      <c r="M442" s="162"/>
      <c r="N442" s="162"/>
      <c r="O442" s="162"/>
    </row>
    <row r="443" spans="10:15" x14ac:dyDescent="0.45">
      <c r="J443" s="161"/>
      <c r="K443" s="161"/>
      <c r="L443" s="161"/>
      <c r="M443" s="162"/>
      <c r="N443" s="162"/>
      <c r="O443" s="162"/>
    </row>
    <row r="444" spans="10:15" x14ac:dyDescent="0.45">
      <c r="J444" s="161"/>
      <c r="K444" s="161"/>
      <c r="L444" s="161"/>
      <c r="M444" s="162"/>
      <c r="N444" s="162"/>
      <c r="O444" s="162"/>
    </row>
    <row r="445" spans="10:15" x14ac:dyDescent="0.45">
      <c r="J445" s="161"/>
      <c r="K445" s="161"/>
      <c r="L445" s="161"/>
      <c r="M445" s="162"/>
      <c r="N445" s="162"/>
      <c r="O445" s="162"/>
    </row>
    <row r="446" spans="10:15" x14ac:dyDescent="0.45">
      <c r="J446" s="161"/>
      <c r="K446" s="161"/>
      <c r="L446" s="161"/>
      <c r="M446" s="162"/>
      <c r="N446" s="162"/>
      <c r="O446" s="162"/>
    </row>
    <row r="447" spans="10:15" x14ac:dyDescent="0.45">
      <c r="J447" s="161"/>
      <c r="K447" s="161"/>
      <c r="L447" s="161"/>
      <c r="M447" s="162"/>
      <c r="N447" s="162"/>
      <c r="O447" s="162"/>
    </row>
    <row r="448" spans="10:15" x14ac:dyDescent="0.45">
      <c r="J448" s="161"/>
      <c r="K448" s="161"/>
      <c r="L448" s="161"/>
      <c r="M448" s="162"/>
      <c r="N448" s="162"/>
      <c r="O448" s="162"/>
    </row>
    <row r="449" spans="10:15" x14ac:dyDescent="0.45">
      <c r="J449" s="161"/>
      <c r="K449" s="161"/>
      <c r="L449" s="161"/>
      <c r="M449" s="162"/>
      <c r="N449" s="162"/>
      <c r="O449" s="162"/>
    </row>
    <row r="450" spans="10:15" x14ac:dyDescent="0.45">
      <c r="J450" s="161"/>
      <c r="K450" s="161"/>
      <c r="L450" s="161"/>
      <c r="M450" s="162"/>
      <c r="N450" s="162"/>
      <c r="O450" s="162"/>
    </row>
    <row r="451" spans="10:15" x14ac:dyDescent="0.45">
      <c r="J451" s="161"/>
      <c r="K451" s="161"/>
      <c r="L451" s="161"/>
      <c r="M451" s="162"/>
      <c r="N451" s="162"/>
      <c r="O451" s="162"/>
    </row>
    <row r="452" spans="10:15" x14ac:dyDescent="0.45">
      <c r="J452" s="161"/>
      <c r="K452" s="161"/>
      <c r="L452" s="161"/>
      <c r="M452" s="162"/>
      <c r="N452" s="162"/>
      <c r="O452" s="162"/>
    </row>
    <row r="453" spans="10:15" x14ac:dyDescent="0.45">
      <c r="J453" s="161"/>
      <c r="K453" s="161"/>
      <c r="L453" s="161"/>
      <c r="M453" s="162"/>
      <c r="N453" s="162"/>
      <c r="O453" s="162"/>
    </row>
    <row r="454" spans="10:15" x14ac:dyDescent="0.45">
      <c r="J454" s="161"/>
      <c r="K454" s="161"/>
      <c r="L454" s="161"/>
      <c r="M454" s="162"/>
      <c r="N454" s="162"/>
      <c r="O454" s="162"/>
    </row>
    <row r="455" spans="10:15" x14ac:dyDescent="0.45">
      <c r="J455" s="161"/>
      <c r="K455" s="161"/>
      <c r="L455" s="161"/>
      <c r="M455" s="162"/>
      <c r="N455" s="162"/>
      <c r="O455" s="162"/>
    </row>
    <row r="456" spans="10:15" x14ac:dyDescent="0.45">
      <c r="J456" s="161"/>
      <c r="K456" s="161"/>
      <c r="L456" s="161"/>
      <c r="M456" s="162"/>
      <c r="N456" s="162"/>
      <c r="O456" s="162"/>
    </row>
    <row r="457" spans="10:15" x14ac:dyDescent="0.45">
      <c r="J457" s="161"/>
      <c r="K457" s="161"/>
      <c r="L457" s="161"/>
      <c r="M457" s="162"/>
      <c r="N457" s="162"/>
      <c r="O457" s="162"/>
    </row>
    <row r="458" spans="10:15" x14ac:dyDescent="0.45">
      <c r="J458" s="161"/>
      <c r="K458" s="161"/>
      <c r="L458" s="161"/>
      <c r="M458" s="162"/>
      <c r="N458" s="162"/>
      <c r="O458" s="162"/>
    </row>
    <row r="459" spans="10:15" x14ac:dyDescent="0.45">
      <c r="J459" s="161"/>
      <c r="K459" s="161"/>
      <c r="L459" s="161"/>
      <c r="M459" s="162"/>
      <c r="N459" s="162"/>
      <c r="O459" s="162"/>
    </row>
    <row r="460" spans="10:15" x14ac:dyDescent="0.45">
      <c r="J460" s="161"/>
      <c r="K460" s="161"/>
      <c r="L460" s="161"/>
      <c r="M460" s="162"/>
      <c r="N460" s="162"/>
      <c r="O460" s="162"/>
    </row>
    <row r="461" spans="10:15" x14ac:dyDescent="0.45">
      <c r="J461" s="161"/>
      <c r="K461" s="161"/>
      <c r="L461" s="161"/>
      <c r="M461" s="162"/>
      <c r="N461" s="162"/>
      <c r="O461" s="162"/>
    </row>
    <row r="462" spans="10:15" x14ac:dyDescent="0.45">
      <c r="J462" s="161"/>
      <c r="K462" s="161"/>
      <c r="L462" s="161"/>
      <c r="M462" s="162"/>
      <c r="N462" s="162"/>
      <c r="O462" s="162"/>
    </row>
    <row r="463" spans="10:15" x14ac:dyDescent="0.45">
      <c r="J463" s="161"/>
      <c r="K463" s="161"/>
      <c r="L463" s="161"/>
      <c r="M463" s="162"/>
      <c r="N463" s="162"/>
      <c r="O463" s="162"/>
    </row>
    <row r="464" spans="10:15" x14ac:dyDescent="0.45">
      <c r="J464" s="161"/>
      <c r="K464" s="161"/>
      <c r="L464" s="161"/>
      <c r="M464" s="162"/>
      <c r="N464" s="162"/>
      <c r="O464" s="162"/>
    </row>
    <row r="465" spans="10:15" x14ac:dyDescent="0.45">
      <c r="J465" s="161"/>
      <c r="K465" s="161"/>
      <c r="L465" s="161"/>
      <c r="M465" s="162"/>
      <c r="N465" s="162"/>
      <c r="O465" s="162"/>
    </row>
    <row r="466" spans="10:15" x14ac:dyDescent="0.45">
      <c r="J466" s="161"/>
      <c r="K466" s="161"/>
      <c r="L466" s="161"/>
      <c r="M466" s="162"/>
      <c r="N466" s="162"/>
      <c r="O466" s="162"/>
    </row>
    <row r="467" spans="10:15" x14ac:dyDescent="0.45">
      <c r="J467" s="161"/>
      <c r="K467" s="161"/>
      <c r="L467" s="161"/>
      <c r="M467" s="162"/>
      <c r="N467" s="162"/>
      <c r="O467" s="162"/>
    </row>
    <row r="468" spans="10:15" x14ac:dyDescent="0.45">
      <c r="J468" s="161"/>
      <c r="K468" s="161"/>
      <c r="L468" s="161"/>
      <c r="M468" s="162"/>
      <c r="N468" s="162"/>
      <c r="O468" s="162"/>
    </row>
    <row r="469" spans="10:15" x14ac:dyDescent="0.45">
      <c r="J469" s="161"/>
      <c r="K469" s="161"/>
      <c r="L469" s="161"/>
      <c r="M469" s="162"/>
      <c r="N469" s="162"/>
      <c r="O469" s="162"/>
    </row>
    <row r="470" spans="10:15" x14ac:dyDescent="0.45">
      <c r="J470" s="161"/>
      <c r="K470" s="161"/>
      <c r="L470" s="161"/>
      <c r="M470" s="162"/>
      <c r="N470" s="162"/>
      <c r="O470" s="162"/>
    </row>
    <row r="471" spans="10:15" x14ac:dyDescent="0.45">
      <c r="J471" s="161"/>
      <c r="K471" s="161"/>
      <c r="L471" s="161"/>
      <c r="M471" s="162"/>
      <c r="N471" s="162"/>
      <c r="O471" s="162"/>
    </row>
    <row r="472" spans="10:15" x14ac:dyDescent="0.45">
      <c r="J472" s="161"/>
      <c r="K472" s="161"/>
      <c r="L472" s="161"/>
      <c r="M472" s="162"/>
      <c r="N472" s="162"/>
      <c r="O472" s="162"/>
    </row>
    <row r="473" spans="10:15" x14ac:dyDescent="0.45">
      <c r="J473" s="161"/>
      <c r="K473" s="161"/>
      <c r="L473" s="161"/>
      <c r="M473" s="162"/>
      <c r="N473" s="162"/>
      <c r="O473" s="162"/>
    </row>
    <row r="474" spans="10:15" x14ac:dyDescent="0.45">
      <c r="J474" s="161"/>
      <c r="K474" s="161"/>
      <c r="L474" s="161"/>
      <c r="M474" s="162"/>
      <c r="N474" s="162"/>
      <c r="O474" s="162"/>
    </row>
    <row r="475" spans="10:15" x14ac:dyDescent="0.45">
      <c r="J475" s="161"/>
      <c r="K475" s="161"/>
      <c r="L475" s="161"/>
      <c r="M475" s="162"/>
      <c r="N475" s="162"/>
      <c r="O475" s="162"/>
    </row>
    <row r="476" spans="10:15" x14ac:dyDescent="0.45">
      <c r="J476" s="161"/>
      <c r="K476" s="161"/>
      <c r="L476" s="161"/>
      <c r="M476" s="162"/>
      <c r="N476" s="162"/>
      <c r="O476" s="162"/>
    </row>
    <row r="477" spans="10:15" x14ac:dyDescent="0.45">
      <c r="J477" s="161"/>
      <c r="K477" s="161"/>
      <c r="L477" s="161"/>
      <c r="M477" s="162"/>
      <c r="N477" s="162"/>
      <c r="O477" s="162"/>
    </row>
    <row r="478" spans="10:15" x14ac:dyDescent="0.45">
      <c r="J478" s="161"/>
      <c r="K478" s="161"/>
      <c r="L478" s="161"/>
      <c r="M478" s="162"/>
      <c r="N478" s="162"/>
      <c r="O478" s="162"/>
    </row>
    <row r="479" spans="10:15" x14ac:dyDescent="0.45">
      <c r="J479" s="161"/>
      <c r="K479" s="161"/>
      <c r="L479" s="161"/>
      <c r="M479" s="162"/>
      <c r="N479" s="162"/>
      <c r="O479" s="162"/>
    </row>
    <row r="480" spans="10:15" x14ac:dyDescent="0.45">
      <c r="J480" s="161"/>
      <c r="K480" s="161"/>
      <c r="L480" s="161"/>
      <c r="M480" s="162"/>
      <c r="N480" s="162"/>
      <c r="O480" s="162"/>
    </row>
    <row r="481" spans="10:15" x14ac:dyDescent="0.45">
      <c r="J481" s="161"/>
      <c r="K481" s="161"/>
      <c r="L481" s="161"/>
      <c r="M481" s="162"/>
      <c r="N481" s="162"/>
      <c r="O481" s="162"/>
    </row>
    <row r="482" spans="10:15" x14ac:dyDescent="0.45">
      <c r="J482" s="161"/>
      <c r="K482" s="161"/>
      <c r="L482" s="161"/>
      <c r="M482" s="162"/>
      <c r="N482" s="162"/>
      <c r="O482" s="162"/>
    </row>
    <row r="483" spans="10:15" x14ac:dyDescent="0.45">
      <c r="J483" s="161"/>
      <c r="K483" s="161"/>
      <c r="L483" s="161"/>
      <c r="M483" s="162"/>
      <c r="N483" s="162"/>
      <c r="O483" s="162"/>
    </row>
    <row r="484" spans="10:15" x14ac:dyDescent="0.45">
      <c r="J484" s="161"/>
      <c r="K484" s="161"/>
      <c r="L484" s="161"/>
      <c r="M484" s="162"/>
      <c r="N484" s="162"/>
      <c r="O484" s="162"/>
    </row>
    <row r="485" spans="10:15" x14ac:dyDescent="0.45">
      <c r="J485" s="161"/>
      <c r="K485" s="161"/>
      <c r="L485" s="161"/>
      <c r="M485" s="162"/>
      <c r="N485" s="162"/>
      <c r="O485" s="162"/>
    </row>
    <row r="486" spans="10:15" x14ac:dyDescent="0.45">
      <c r="J486" s="161"/>
      <c r="K486" s="161"/>
      <c r="L486" s="161"/>
      <c r="M486" s="162"/>
      <c r="N486" s="162"/>
      <c r="O486" s="162"/>
    </row>
    <row r="487" spans="10:15" x14ac:dyDescent="0.45">
      <c r="J487" s="161"/>
      <c r="K487" s="161"/>
      <c r="L487" s="161"/>
      <c r="M487" s="162"/>
      <c r="N487" s="162"/>
      <c r="O487" s="162"/>
    </row>
    <row r="488" spans="10:15" x14ac:dyDescent="0.45">
      <c r="J488" s="161"/>
      <c r="K488" s="161"/>
      <c r="L488" s="161"/>
      <c r="M488" s="162"/>
      <c r="N488" s="162"/>
      <c r="O488" s="162"/>
    </row>
    <row r="489" spans="10:15" x14ac:dyDescent="0.45">
      <c r="J489" s="161"/>
      <c r="K489" s="161"/>
      <c r="L489" s="161"/>
      <c r="M489" s="162"/>
      <c r="N489" s="162"/>
      <c r="O489" s="162"/>
    </row>
    <row r="490" spans="10:15" x14ac:dyDescent="0.45">
      <c r="J490" s="161"/>
      <c r="K490" s="161"/>
      <c r="L490" s="161"/>
      <c r="M490" s="162"/>
      <c r="N490" s="162"/>
      <c r="O490" s="162"/>
    </row>
    <row r="491" spans="10:15" x14ac:dyDescent="0.45">
      <c r="J491" s="161"/>
      <c r="K491" s="161"/>
      <c r="L491" s="161"/>
      <c r="M491" s="162"/>
      <c r="N491" s="162"/>
      <c r="O491" s="162"/>
    </row>
    <row r="492" spans="10:15" x14ac:dyDescent="0.45">
      <c r="J492" s="161"/>
      <c r="K492" s="161"/>
      <c r="L492" s="161"/>
      <c r="M492" s="162"/>
      <c r="N492" s="162"/>
      <c r="O492" s="162"/>
    </row>
    <row r="493" spans="10:15" x14ac:dyDescent="0.45">
      <c r="J493" s="161"/>
      <c r="K493" s="161"/>
      <c r="L493" s="161"/>
      <c r="M493" s="162"/>
      <c r="N493" s="162"/>
      <c r="O493" s="162"/>
    </row>
    <row r="494" spans="10:15" x14ac:dyDescent="0.45">
      <c r="J494" s="161"/>
      <c r="K494" s="161"/>
      <c r="L494" s="161"/>
      <c r="M494" s="162"/>
      <c r="N494" s="162"/>
      <c r="O494" s="162"/>
    </row>
    <row r="495" spans="10:15" x14ac:dyDescent="0.45">
      <c r="J495" s="161"/>
      <c r="K495" s="161"/>
      <c r="L495" s="161"/>
      <c r="M495" s="162"/>
      <c r="N495" s="162"/>
      <c r="O495" s="162"/>
    </row>
    <row r="496" spans="10:15" x14ac:dyDescent="0.45">
      <c r="J496" s="161"/>
      <c r="K496" s="161"/>
      <c r="L496" s="161"/>
      <c r="M496" s="162"/>
      <c r="N496" s="162"/>
      <c r="O496" s="162"/>
    </row>
    <row r="497" spans="10:15" x14ac:dyDescent="0.45">
      <c r="J497" s="161"/>
      <c r="K497" s="161"/>
      <c r="L497" s="161"/>
      <c r="M497" s="162"/>
      <c r="N497" s="162"/>
      <c r="O497" s="162"/>
    </row>
    <row r="498" spans="10:15" x14ac:dyDescent="0.45">
      <c r="J498" s="161"/>
      <c r="K498" s="161"/>
      <c r="L498" s="161"/>
      <c r="M498" s="162"/>
      <c r="N498" s="162"/>
      <c r="O498" s="162"/>
    </row>
    <row r="499" spans="10:15" x14ac:dyDescent="0.45">
      <c r="J499" s="161"/>
      <c r="K499" s="161"/>
      <c r="L499" s="161"/>
      <c r="M499" s="162"/>
      <c r="N499" s="162"/>
      <c r="O499" s="162"/>
    </row>
    <row r="500" spans="10:15" x14ac:dyDescent="0.45">
      <c r="J500" s="161"/>
      <c r="K500" s="161"/>
      <c r="L500" s="161"/>
      <c r="M500" s="162"/>
      <c r="N500" s="162"/>
      <c r="O500" s="162"/>
    </row>
    <row r="501" spans="10:15" x14ac:dyDescent="0.45">
      <c r="J501" s="161"/>
      <c r="K501" s="161"/>
      <c r="L501" s="161"/>
      <c r="M501" s="162"/>
      <c r="N501" s="162"/>
      <c r="O501" s="162"/>
    </row>
    <row r="502" spans="10:15" x14ac:dyDescent="0.45">
      <c r="J502" s="161"/>
      <c r="K502" s="161"/>
      <c r="L502" s="161"/>
      <c r="M502" s="162"/>
      <c r="N502" s="162"/>
      <c r="O502" s="162"/>
    </row>
    <row r="503" spans="10:15" x14ac:dyDescent="0.45">
      <c r="J503" s="161"/>
      <c r="K503" s="161"/>
      <c r="L503" s="161"/>
      <c r="M503" s="162"/>
      <c r="N503" s="162"/>
      <c r="O503" s="162"/>
    </row>
    <row r="504" spans="10:15" x14ac:dyDescent="0.45">
      <c r="J504" s="161"/>
      <c r="K504" s="161"/>
      <c r="L504" s="161"/>
      <c r="M504" s="162"/>
      <c r="N504" s="162"/>
      <c r="O504" s="162"/>
    </row>
    <row r="505" spans="10:15" x14ac:dyDescent="0.45">
      <c r="J505" s="161"/>
      <c r="K505" s="161"/>
      <c r="L505" s="161"/>
      <c r="M505" s="162"/>
      <c r="N505" s="162"/>
      <c r="O505" s="162"/>
    </row>
    <row r="506" spans="10:15" x14ac:dyDescent="0.45">
      <c r="J506" s="161"/>
      <c r="K506" s="161"/>
      <c r="L506" s="161"/>
      <c r="M506" s="162"/>
      <c r="N506" s="162"/>
      <c r="O506" s="162"/>
    </row>
    <row r="507" spans="10:15" x14ac:dyDescent="0.45">
      <c r="J507" s="161"/>
      <c r="K507" s="161"/>
      <c r="L507" s="161"/>
      <c r="M507" s="162"/>
      <c r="N507" s="162"/>
      <c r="O507" s="162"/>
    </row>
    <row r="508" spans="10:15" x14ac:dyDescent="0.45">
      <c r="J508" s="161"/>
      <c r="K508" s="161"/>
      <c r="L508" s="161"/>
      <c r="M508" s="162"/>
      <c r="N508" s="162"/>
      <c r="O508" s="162"/>
    </row>
  </sheetData>
  <sheetProtection algorithmName="SHA-512" hashValue="OpbyBZC47bq352DWzUOMrfAXrE5tLmonpqvcIf17wNEWsK6rQlnfjOZ7ki7aHGkF4l4qTdaEtA4eECnTiHSGMg==" saltValue="1y/NYy99w4WU2cylNHgJEg==" spinCount="100000" sheet="1" selectLockedCells="1"/>
  <sortState xmlns:xlrd2="http://schemas.microsoft.com/office/spreadsheetml/2017/richdata2" ref="A94:C169">
    <sortCondition ref="B94:B169"/>
  </sortState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2"/>
  <sheetViews>
    <sheetView zoomScale="75" zoomScaleNormal="75" workbookViewId="0">
      <selection activeCell="P21" sqref="P21"/>
    </sheetView>
  </sheetViews>
  <sheetFormatPr defaultRowHeight="14.25" x14ac:dyDescent="0.45"/>
  <cols>
    <col min="1" max="1" width="46.796875" style="22" customWidth="1"/>
    <col min="2" max="8" width="8.59765625" style="22" customWidth="1"/>
    <col min="9" max="9" width="8.59765625" style="23" customWidth="1"/>
    <col min="10" max="13" width="8.59765625" style="22" customWidth="1"/>
    <col min="14" max="16384" width="9.06640625" style="22"/>
  </cols>
  <sheetData>
    <row r="1" spans="1:15" ht="20.65" x14ac:dyDescent="0.6">
      <c r="A1" s="19" t="s">
        <v>250</v>
      </c>
      <c r="B1" s="20" t="str">
        <f>MKT!C1</f>
        <v>UK</v>
      </c>
      <c r="C1" s="21"/>
    </row>
    <row r="3" spans="1:15" x14ac:dyDescent="0.45">
      <c r="I3" s="22"/>
    </row>
    <row r="4" spans="1:15" s="26" customFormat="1" ht="41.25" customHeight="1" x14ac:dyDescent="0.45">
      <c r="A4" s="24"/>
      <c r="B4" s="25" t="s">
        <v>7</v>
      </c>
      <c r="C4" s="25" t="s">
        <v>8</v>
      </c>
      <c r="D4" s="25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138</v>
      </c>
      <c r="J4" s="25" t="s">
        <v>139</v>
      </c>
      <c r="K4" s="25" t="s">
        <v>140</v>
      </c>
      <c r="L4" s="25" t="s">
        <v>141</v>
      </c>
      <c r="M4" s="25" t="s">
        <v>142</v>
      </c>
    </row>
    <row r="5" spans="1:15" x14ac:dyDescent="0.45">
      <c r="A5" s="27"/>
      <c r="B5" s="28"/>
      <c r="C5" s="29"/>
      <c r="D5" s="28">
        <f>B5+1</f>
        <v>1</v>
      </c>
      <c r="E5" s="28">
        <f>D5+1</f>
        <v>2</v>
      </c>
      <c r="F5" s="28">
        <f t="shared" ref="F5:H5" si="0">E5+1</f>
        <v>3</v>
      </c>
      <c r="G5" s="28">
        <f t="shared" si="0"/>
        <v>4</v>
      </c>
      <c r="H5" s="28">
        <f t="shared" si="0"/>
        <v>5</v>
      </c>
      <c r="I5" s="28">
        <f t="shared" ref="I5" si="1">H5+1</f>
        <v>6</v>
      </c>
      <c r="J5" s="28">
        <f t="shared" ref="J5" si="2">I5+1</f>
        <v>7</v>
      </c>
      <c r="K5" s="28">
        <f t="shared" ref="K5" si="3">J5+1</f>
        <v>8</v>
      </c>
      <c r="L5" s="28">
        <f t="shared" ref="L5" si="4">K5+1</f>
        <v>9</v>
      </c>
      <c r="M5" s="28">
        <f t="shared" ref="M5" si="5">L5+1</f>
        <v>10</v>
      </c>
    </row>
    <row r="6" spans="1:15" x14ac:dyDescent="0.45">
      <c r="A6" s="30" t="s">
        <v>1</v>
      </c>
      <c r="B6" s="42">
        <f>MKT!C23</f>
        <v>66.780531900000014</v>
      </c>
      <c r="C6" s="7">
        <v>0.01</v>
      </c>
      <c r="D6" s="49">
        <f t="shared" ref="D6:M6" si="6">$B6*(1+$C6)^(D$5-$B$5)</f>
        <v>67.44833721900001</v>
      </c>
      <c r="E6" s="49">
        <f t="shared" si="6"/>
        <v>68.12282059119002</v>
      </c>
      <c r="F6" s="49">
        <f t="shared" si="6"/>
        <v>68.804048797101913</v>
      </c>
      <c r="G6" s="49">
        <f t="shared" si="6"/>
        <v>69.492089285072936</v>
      </c>
      <c r="H6" s="49">
        <f t="shared" si="6"/>
        <v>70.187010177923653</v>
      </c>
      <c r="I6" s="49">
        <f t="shared" si="6"/>
        <v>70.888880279702903</v>
      </c>
      <c r="J6" s="49">
        <f t="shared" si="6"/>
        <v>71.597769082499923</v>
      </c>
      <c r="K6" s="49">
        <f t="shared" si="6"/>
        <v>72.313746773324937</v>
      </c>
      <c r="L6" s="49">
        <f t="shared" si="6"/>
        <v>73.036884241058189</v>
      </c>
      <c r="M6" s="49">
        <f t="shared" si="6"/>
        <v>73.767253083468773</v>
      </c>
    </row>
    <row r="7" spans="1:15" x14ac:dyDescent="0.45">
      <c r="A7" s="30" t="s">
        <v>130</v>
      </c>
      <c r="B7" s="42">
        <f>MKT!I23</f>
        <v>2.1603999999999997</v>
      </c>
      <c r="C7" s="7">
        <v>1.9E-2</v>
      </c>
      <c r="D7" s="44">
        <f>$B7*(1+$C7)^(D$5-$B$5)</f>
        <v>2.2014475999999994</v>
      </c>
      <c r="E7" s="44">
        <f t="shared" ref="E7:M7" si="7">$B7*(1+$C7)^(E$5-$B$5)</f>
        <v>2.2432751043999994</v>
      </c>
      <c r="F7" s="44">
        <f t="shared" si="7"/>
        <v>2.2858973313835995</v>
      </c>
      <c r="G7" s="44">
        <f t="shared" si="7"/>
        <v>2.3293293806798876</v>
      </c>
      <c r="H7" s="44">
        <f t="shared" si="7"/>
        <v>2.3735866389128053</v>
      </c>
      <c r="I7" s="44">
        <f t="shared" si="7"/>
        <v>2.4186847850521489</v>
      </c>
      <c r="J7" s="44">
        <f t="shared" si="7"/>
        <v>2.4646397959681394</v>
      </c>
      <c r="K7" s="44">
        <f t="shared" si="7"/>
        <v>2.5114679520915337</v>
      </c>
      <c r="L7" s="44">
        <f t="shared" si="7"/>
        <v>2.5591858431812726</v>
      </c>
      <c r="M7" s="44">
        <f t="shared" si="7"/>
        <v>2.6078103742017169</v>
      </c>
    </row>
    <row r="8" spans="1:15" x14ac:dyDescent="0.45">
      <c r="A8" s="30" t="s">
        <v>148</v>
      </c>
      <c r="B8" s="43">
        <f>MKT!H23</f>
        <v>92.338999999999999</v>
      </c>
      <c r="C8" s="7">
        <v>0.06</v>
      </c>
      <c r="D8" s="50">
        <f>$B8*(1+$C8)^(D$5-$B$5)</f>
        <v>97.879339999999999</v>
      </c>
      <c r="E8" s="50">
        <f t="shared" ref="E8:M8" si="8">$B8*(1+$C8)^(E$5-$B$5)</f>
        <v>103.75210040000002</v>
      </c>
      <c r="F8" s="50">
        <f t="shared" si="8"/>
        <v>109.97722642400002</v>
      </c>
      <c r="G8" s="50">
        <f t="shared" si="8"/>
        <v>116.57586000944002</v>
      </c>
      <c r="H8" s="50">
        <f t="shared" si="8"/>
        <v>123.57041161000645</v>
      </c>
      <c r="I8" s="50">
        <f t="shared" si="8"/>
        <v>130.98463630660683</v>
      </c>
      <c r="J8" s="50">
        <f t="shared" si="8"/>
        <v>138.84371448500326</v>
      </c>
      <c r="K8" s="50">
        <f t="shared" si="8"/>
        <v>147.17433735410344</v>
      </c>
      <c r="L8" s="50">
        <f t="shared" si="8"/>
        <v>156.00479759534966</v>
      </c>
      <c r="M8" s="50">
        <f t="shared" si="8"/>
        <v>165.36508545107066</v>
      </c>
    </row>
    <row r="9" spans="1:15" x14ac:dyDescent="0.45">
      <c r="A9" s="32"/>
      <c r="B9" s="32"/>
      <c r="C9" s="32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5" x14ac:dyDescent="0.45">
      <c r="A10" s="30" t="s">
        <v>61</v>
      </c>
      <c r="B10" s="42">
        <f>MKT!J23</f>
        <v>3.9690000000000003</v>
      </c>
      <c r="C10" s="33"/>
      <c r="D10" s="44">
        <f>D11+D12</f>
        <v>4.1595120000000003</v>
      </c>
      <c r="E10" s="44">
        <f t="shared" ref="E10:M10" si="9">E11+E12</f>
        <v>4.3605021600000002</v>
      </c>
      <c r="F10" s="44">
        <f t="shared" si="9"/>
        <v>4.5725801184000012</v>
      </c>
      <c r="G10" s="44">
        <f t="shared" si="9"/>
        <v>4.7963917108800009</v>
      </c>
      <c r="H10" s="44">
        <f t="shared" si="9"/>
        <v>5.0326211346163214</v>
      </c>
      <c r="I10" s="44">
        <f t="shared" si="9"/>
        <v>5.2819932421984914</v>
      </c>
      <c r="J10" s="44">
        <f t="shared" si="9"/>
        <v>5.5452759730256957</v>
      </c>
      <c r="K10" s="44">
        <f t="shared" si="9"/>
        <v>5.8232829304284364</v>
      </c>
      <c r="L10" s="44">
        <f t="shared" si="9"/>
        <v>6.116876113255767</v>
      </c>
      <c r="M10" s="44">
        <f t="shared" si="9"/>
        <v>6.4269688111927703</v>
      </c>
    </row>
    <row r="11" spans="1:15" x14ac:dyDescent="0.45">
      <c r="A11" s="30" t="s">
        <v>62</v>
      </c>
      <c r="B11" s="44">
        <f>MKT!R23</f>
        <v>1.1907000000000003</v>
      </c>
      <c r="C11" s="7">
        <v>0.02</v>
      </c>
      <c r="D11" s="44">
        <f>$B11*(1+$C$11)^(D$5-$B$5)</f>
        <v>1.2145140000000003</v>
      </c>
      <c r="E11" s="44">
        <f t="shared" ref="E11:M11" si="10">$B11*(1+$C$11)^(E$5-$B$5)</f>
        <v>1.2388042800000003</v>
      </c>
      <c r="F11" s="44">
        <f t="shared" si="10"/>
        <v>1.2635803656000002</v>
      </c>
      <c r="G11" s="44">
        <f t="shared" si="10"/>
        <v>1.2888519729120003</v>
      </c>
      <c r="H11" s="44">
        <f t="shared" si="10"/>
        <v>1.3146290123702404</v>
      </c>
      <c r="I11" s="44">
        <f t="shared" si="10"/>
        <v>1.3409215926176452</v>
      </c>
      <c r="J11" s="44">
        <f t="shared" si="10"/>
        <v>1.3677400244699978</v>
      </c>
      <c r="K11" s="44">
        <f t="shared" si="10"/>
        <v>1.395094824959398</v>
      </c>
      <c r="L11" s="44">
        <f t="shared" si="10"/>
        <v>1.4229967214585859</v>
      </c>
      <c r="M11" s="44">
        <f t="shared" si="10"/>
        <v>1.4514566558877577</v>
      </c>
    </row>
    <row r="12" spans="1:15" x14ac:dyDescent="0.45">
      <c r="A12" s="30" t="s">
        <v>63</v>
      </c>
      <c r="B12" s="44">
        <f>MKT!N23</f>
        <v>2.7782999999999998</v>
      </c>
      <c r="C12" s="7">
        <v>0.06</v>
      </c>
      <c r="D12" s="50">
        <f>$B12*(1+$C12)^(D$5-$B$5)</f>
        <v>2.944998</v>
      </c>
      <c r="E12" s="50">
        <f t="shared" ref="E12:M12" si="11">$B12*(1+$C12)^(E$5-$B$5)</f>
        <v>3.1216978800000001</v>
      </c>
      <c r="F12" s="50">
        <f t="shared" si="11"/>
        <v>3.3089997528000006</v>
      </c>
      <c r="G12" s="50">
        <f t="shared" si="11"/>
        <v>3.5075397379680004</v>
      </c>
      <c r="H12" s="50">
        <f t="shared" si="11"/>
        <v>3.717992122246081</v>
      </c>
      <c r="I12" s="50">
        <f t="shared" si="11"/>
        <v>3.941071649580846</v>
      </c>
      <c r="J12" s="50">
        <f t="shared" si="11"/>
        <v>4.1775359485556978</v>
      </c>
      <c r="K12" s="50">
        <f t="shared" si="11"/>
        <v>4.4281881054690384</v>
      </c>
      <c r="L12" s="50">
        <f t="shared" si="11"/>
        <v>4.6938793917971813</v>
      </c>
      <c r="M12" s="50">
        <f t="shared" si="11"/>
        <v>4.9755121553050126</v>
      </c>
    </row>
    <row r="13" spans="1:15" x14ac:dyDescent="0.45">
      <c r="A13" s="30" t="s">
        <v>241</v>
      </c>
      <c r="B13" s="7">
        <v>0.05</v>
      </c>
      <c r="C13" s="34"/>
      <c r="D13" s="48">
        <f>$B$13</f>
        <v>0.05</v>
      </c>
      <c r="E13" s="48">
        <f t="shared" ref="E13:M13" si="12">$B$13</f>
        <v>0.05</v>
      </c>
      <c r="F13" s="48">
        <f t="shared" si="12"/>
        <v>0.05</v>
      </c>
      <c r="G13" s="48">
        <f t="shared" si="12"/>
        <v>0.05</v>
      </c>
      <c r="H13" s="48">
        <f t="shared" si="12"/>
        <v>0.05</v>
      </c>
      <c r="I13" s="48">
        <f t="shared" si="12"/>
        <v>0.05</v>
      </c>
      <c r="J13" s="48">
        <f t="shared" si="12"/>
        <v>0.05</v>
      </c>
      <c r="K13" s="48">
        <f t="shared" si="12"/>
        <v>0.05</v>
      </c>
      <c r="L13" s="48">
        <f t="shared" si="12"/>
        <v>0.05</v>
      </c>
      <c r="M13" s="48">
        <f t="shared" si="12"/>
        <v>0.05</v>
      </c>
      <c r="O13" s="22" t="s">
        <v>864</v>
      </c>
    </row>
    <row r="14" spans="1:15" x14ac:dyDescent="0.45">
      <c r="A14" s="30" t="s">
        <v>242</v>
      </c>
      <c r="B14" s="44">
        <f>B12*B13</f>
        <v>0.13891499999999998</v>
      </c>
      <c r="C14" s="34"/>
      <c r="D14" s="44">
        <f>D12*D13</f>
        <v>0.14724990000000002</v>
      </c>
      <c r="E14" s="44">
        <f t="shared" ref="E14:H14" si="13">E12*E13</f>
        <v>0.15608489400000003</v>
      </c>
      <c r="F14" s="44">
        <f t="shared" si="13"/>
        <v>0.16544998764000005</v>
      </c>
      <c r="G14" s="44">
        <f t="shared" si="13"/>
        <v>0.17537698689840003</v>
      </c>
      <c r="H14" s="44">
        <f t="shared" si="13"/>
        <v>0.18589960611230405</v>
      </c>
      <c r="I14" s="44">
        <f t="shared" ref="I14:M14" si="14">I12*I13</f>
        <v>0.19705358247904231</v>
      </c>
      <c r="J14" s="44">
        <f t="shared" si="14"/>
        <v>0.20887679742778489</v>
      </c>
      <c r="K14" s="44">
        <f t="shared" si="14"/>
        <v>0.22140940527345193</v>
      </c>
      <c r="L14" s="44">
        <f t="shared" si="14"/>
        <v>0.23469396958985908</v>
      </c>
      <c r="M14" s="44">
        <f t="shared" si="14"/>
        <v>0.24877560776525065</v>
      </c>
    </row>
    <row r="15" spans="1:15" x14ac:dyDescent="0.45">
      <c r="A15" s="30" t="s">
        <v>64</v>
      </c>
      <c r="B15" s="44">
        <f>B12-B14</f>
        <v>2.6393849999999999</v>
      </c>
      <c r="C15" s="34"/>
      <c r="D15" s="44">
        <f>D12-D14</f>
        <v>2.7977481000000002</v>
      </c>
      <c r="E15" s="44">
        <f t="shared" ref="E15:H15" si="15">E12-E14</f>
        <v>2.965612986</v>
      </c>
      <c r="F15" s="44">
        <f t="shared" si="15"/>
        <v>3.1435497651600004</v>
      </c>
      <c r="G15" s="44">
        <f t="shared" si="15"/>
        <v>3.3321627510696006</v>
      </c>
      <c r="H15" s="44">
        <f t="shared" si="15"/>
        <v>3.5320925161337771</v>
      </c>
      <c r="I15" s="44">
        <f t="shared" ref="I15:M15" si="16">I12-I14</f>
        <v>3.7440180671018037</v>
      </c>
      <c r="J15" s="44">
        <f t="shared" si="16"/>
        <v>3.968659151127913</v>
      </c>
      <c r="K15" s="44">
        <f t="shared" si="16"/>
        <v>4.2067787001955868</v>
      </c>
      <c r="L15" s="44">
        <f t="shared" si="16"/>
        <v>4.4591854222073222</v>
      </c>
      <c r="M15" s="44">
        <f t="shared" si="16"/>
        <v>4.7267365475397618</v>
      </c>
    </row>
    <row r="16" spans="1:15" s="35" customFormat="1" x14ac:dyDescent="0.45">
      <c r="A16" s="32"/>
      <c r="B16" s="32"/>
      <c r="C16" s="32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5" s="35" customFormat="1" x14ac:dyDescent="0.45">
      <c r="A17" s="30" t="s">
        <v>149</v>
      </c>
      <c r="B17" s="45">
        <f>MKT!K23</f>
        <v>3.7710000000000012</v>
      </c>
      <c r="C17" s="36"/>
      <c r="D17" s="51">
        <f>D23/D10</f>
        <v>3.8278614503816799</v>
      </c>
      <c r="E17" s="51">
        <f t="shared" ref="E17:H17" si="17">E23/E10</f>
        <v>3.8857894524138938</v>
      </c>
      <c r="F17" s="51">
        <f t="shared" si="17"/>
        <v>3.9448164120130658</v>
      </c>
      <c r="G17" s="51">
        <f t="shared" si="17"/>
        <v>4.0049753038536782</v>
      </c>
      <c r="H17" s="51">
        <f t="shared" si="17"/>
        <v>4.0662996576944952</v>
      </c>
      <c r="I17" s="51">
        <f t="shared" ref="I17:M17" si="18">I23/I10</f>
        <v>4.1288235456417537</v>
      </c>
      <c r="J17" s="51">
        <f t="shared" si="18"/>
        <v>4.1925815704458209</v>
      </c>
      <c r="K17" s="51">
        <f t="shared" si="18"/>
        <v>4.2576088549166693</v>
      </c>
      <c r="L17" s="51">
        <f t="shared" si="18"/>
        <v>4.3239410325322893</v>
      </c>
      <c r="M17" s="51">
        <f t="shared" si="18"/>
        <v>4.3916142393030411</v>
      </c>
      <c r="O17" s="22"/>
    </row>
    <row r="18" spans="1:15" s="35" customFormat="1" x14ac:dyDescent="0.45">
      <c r="A18" s="30" t="s">
        <v>150</v>
      </c>
      <c r="B18" s="45">
        <f>MKT!S23</f>
        <v>5.36</v>
      </c>
      <c r="C18" s="37">
        <v>0.02</v>
      </c>
      <c r="D18" s="44">
        <f>$B18*(1+$C18)^(D$5-$B$5)</f>
        <v>5.4672000000000001</v>
      </c>
      <c r="E18" s="44">
        <f>$B18*(1+$C18)^(E$5-$B$5)</f>
        <v>5.5765440000000002</v>
      </c>
      <c r="F18" s="44">
        <f>$B18*(1+$C18)^(F$5-$B$5)</f>
        <v>5.6880748800000003</v>
      </c>
      <c r="G18" s="44">
        <f>$B18*(1+$C18)^(G$5-$B$5)</f>
        <v>5.8018363775999999</v>
      </c>
      <c r="H18" s="44">
        <f>$B18*(1+$C18)^(H$5-$B$5)</f>
        <v>5.9178731051520002</v>
      </c>
      <c r="I18" s="44">
        <f t="shared" ref="I18:M18" si="19">$B18*(1+$C18)^(I$5-$B$5)</f>
        <v>6.0362305672550409</v>
      </c>
      <c r="J18" s="44">
        <f t="shared" si="19"/>
        <v>6.15695517860014</v>
      </c>
      <c r="K18" s="44">
        <f t="shared" si="19"/>
        <v>6.2800942821721435</v>
      </c>
      <c r="L18" s="44">
        <f t="shared" si="19"/>
        <v>6.4056961678155862</v>
      </c>
      <c r="M18" s="44">
        <f t="shared" si="19"/>
        <v>6.5338100911718984</v>
      </c>
      <c r="O18" s="38"/>
    </row>
    <row r="19" spans="1:15" s="35" customFormat="1" x14ac:dyDescent="0.45">
      <c r="A19" s="30" t="s">
        <v>134</v>
      </c>
      <c r="B19" s="45">
        <f>MKT!O23</f>
        <v>3.0900000000000007</v>
      </c>
      <c r="C19" s="36"/>
      <c r="D19" s="51">
        <f>D25/D12</f>
        <v>3.151800000000001</v>
      </c>
      <c r="E19" s="51">
        <f t="shared" ref="E19:H19" si="20">E25/E12</f>
        <v>3.2148360000000005</v>
      </c>
      <c r="F19" s="51">
        <f t="shared" si="20"/>
        <v>3.2791327200000007</v>
      </c>
      <c r="G19" s="51">
        <f t="shared" si="20"/>
        <v>3.3447153744000011</v>
      </c>
      <c r="H19" s="51">
        <f t="shared" si="20"/>
        <v>3.4116096818880011</v>
      </c>
      <c r="I19" s="51">
        <f t="shared" ref="I19:M19" si="21">I25/I12</f>
        <v>3.4798418755257612</v>
      </c>
      <c r="J19" s="51">
        <f t="shared" si="21"/>
        <v>3.5494387130362761</v>
      </c>
      <c r="K19" s="51">
        <f t="shared" si="21"/>
        <v>3.6204274872970013</v>
      </c>
      <c r="L19" s="51">
        <f t="shared" si="21"/>
        <v>3.6928360370429414</v>
      </c>
      <c r="M19" s="51">
        <f t="shared" si="21"/>
        <v>3.7666927577838005</v>
      </c>
    </row>
    <row r="20" spans="1:15" s="35" customFormat="1" x14ac:dyDescent="0.45">
      <c r="A20" s="30" t="s">
        <v>243</v>
      </c>
      <c r="B20" s="45">
        <f>MKT!O23</f>
        <v>3.0900000000000007</v>
      </c>
      <c r="C20" s="37">
        <v>0.02</v>
      </c>
      <c r="D20" s="51">
        <f t="shared" ref="D20:M21" si="22">$B20*(1+$C20)^(D$5-$B$5)</f>
        <v>3.1518000000000006</v>
      </c>
      <c r="E20" s="51">
        <f t="shared" si="22"/>
        <v>3.2148360000000009</v>
      </c>
      <c r="F20" s="51">
        <f t="shared" si="22"/>
        <v>3.2791327200000007</v>
      </c>
      <c r="G20" s="51">
        <f t="shared" si="22"/>
        <v>3.3447153744000007</v>
      </c>
      <c r="H20" s="51">
        <f t="shared" si="22"/>
        <v>3.4116096818880011</v>
      </c>
      <c r="I20" s="51">
        <f t="shared" si="22"/>
        <v>3.4798418755257612</v>
      </c>
      <c r="J20" s="51">
        <f t="shared" si="22"/>
        <v>3.5494387130362757</v>
      </c>
      <c r="K20" s="51">
        <f t="shared" si="22"/>
        <v>3.6204274872970013</v>
      </c>
      <c r="L20" s="51">
        <f t="shared" si="22"/>
        <v>3.6928360370429414</v>
      </c>
      <c r="M20" s="51">
        <f t="shared" si="22"/>
        <v>3.7666927577838005</v>
      </c>
      <c r="O20" s="38"/>
    </row>
    <row r="21" spans="1:15" s="35" customFormat="1" x14ac:dyDescent="0.45">
      <c r="A21" s="30" t="s">
        <v>151</v>
      </c>
      <c r="B21" s="45">
        <f>MKT!O23</f>
        <v>3.0900000000000007</v>
      </c>
      <c r="C21" s="37">
        <v>0.02</v>
      </c>
      <c r="D21" s="51">
        <f t="shared" si="22"/>
        <v>3.1518000000000006</v>
      </c>
      <c r="E21" s="51">
        <f t="shared" si="22"/>
        <v>3.2148360000000009</v>
      </c>
      <c r="F21" s="51">
        <f t="shared" si="22"/>
        <v>3.2791327200000007</v>
      </c>
      <c r="G21" s="51">
        <f t="shared" si="22"/>
        <v>3.3447153744000007</v>
      </c>
      <c r="H21" s="51">
        <f t="shared" si="22"/>
        <v>3.4116096818880011</v>
      </c>
      <c r="I21" s="51">
        <f t="shared" si="22"/>
        <v>3.4798418755257612</v>
      </c>
      <c r="J21" s="51">
        <f t="shared" si="22"/>
        <v>3.5494387130362757</v>
      </c>
      <c r="K21" s="51">
        <f t="shared" si="22"/>
        <v>3.6204274872970013</v>
      </c>
      <c r="L21" s="51">
        <f t="shared" si="22"/>
        <v>3.6928360370429414</v>
      </c>
      <c r="M21" s="51">
        <f t="shared" si="22"/>
        <v>3.7666927577838005</v>
      </c>
      <c r="O21" s="38"/>
    </row>
    <row r="22" spans="1:15" s="35" customFormat="1" x14ac:dyDescent="0.45">
      <c r="A22" s="32"/>
      <c r="B22" s="32"/>
      <c r="C22" s="32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5" s="35" customFormat="1" x14ac:dyDescent="0.45">
      <c r="A23" s="30" t="s">
        <v>152</v>
      </c>
      <c r="B23" s="45">
        <f>MKT!L23</f>
        <v>14.967098999999999</v>
      </c>
      <c r="C23" s="36"/>
      <c r="D23" s="51">
        <f>D24+D25</f>
        <v>15.922035637200004</v>
      </c>
      <c r="E23" s="51">
        <f t="shared" ref="E23:H23" si="23">E24+E25</f>
        <v>16.943993300556002</v>
      </c>
      <c r="F23" s="51">
        <f t="shared" si="23"/>
        <v>18.037989096308973</v>
      </c>
      <c r="G23" s="51">
        <f t="shared" si="23"/>
        <v>19.209430349682894</v>
      </c>
      <c r="H23" s="51">
        <f t="shared" si="23"/>
        <v>20.464145596996428</v>
      </c>
      <c r="I23" s="51">
        <f t="shared" ref="I23:M23" si="24">I24+I25</f>
        <v>21.808418066309756</v>
      </c>
      <c r="J23" s="51">
        <f t="shared" si="24"/>
        <v>23.249021847543549</v>
      </c>
      <c r="K23" s="51">
        <f t="shared" si="24"/>
        <v>24.793260969277199</v>
      </c>
      <c r="L23" s="51">
        <f t="shared" si="24"/>
        <v>26.449011617023238</v>
      </c>
      <c r="M23" s="51">
        <f t="shared" si="24"/>
        <v>28.224767746790707</v>
      </c>
    </row>
    <row r="24" spans="1:15" s="35" customFormat="1" x14ac:dyDescent="0.45">
      <c r="A24" s="30" t="s">
        <v>153</v>
      </c>
      <c r="B24" s="45">
        <f>MKT!T23</f>
        <v>6.3821520000000023</v>
      </c>
      <c r="C24" s="36"/>
      <c r="D24" s="51">
        <f>D18*D11</f>
        <v>6.6399909408000015</v>
      </c>
      <c r="E24" s="51">
        <f t="shared" ref="E24:H24" si="25">E18*E11</f>
        <v>6.9082465748083219</v>
      </c>
      <c r="F24" s="51">
        <f t="shared" si="25"/>
        <v>7.1873397364305776</v>
      </c>
      <c r="G24" s="51">
        <f t="shared" si="25"/>
        <v>7.4777082617823725</v>
      </c>
      <c r="H24" s="51">
        <f t="shared" si="25"/>
        <v>7.7798076755583816</v>
      </c>
      <c r="I24" s="51">
        <f t="shared" ref="I24:M24" si="26">I18*I11</f>
        <v>8.0941119056509407</v>
      </c>
      <c r="J24" s="51">
        <f t="shared" si="26"/>
        <v>8.4211140266392341</v>
      </c>
      <c r="K24" s="51">
        <f t="shared" si="26"/>
        <v>8.761327033315462</v>
      </c>
      <c r="L24" s="51">
        <f t="shared" si="26"/>
        <v>9.115284645461406</v>
      </c>
      <c r="M24" s="51">
        <f t="shared" si="26"/>
        <v>9.4835421451380491</v>
      </c>
    </row>
    <row r="25" spans="1:15" s="35" customFormat="1" x14ac:dyDescent="0.45">
      <c r="A25" s="30" t="s">
        <v>154</v>
      </c>
      <c r="B25" s="45">
        <f>MKT!P23</f>
        <v>8.5849470000000014</v>
      </c>
      <c r="C25" s="36"/>
      <c r="D25" s="51">
        <f>D26+D27</f>
        <v>9.2820446964000034</v>
      </c>
      <c r="E25" s="51">
        <f t="shared" ref="E25:H25" si="27">E26+E27</f>
        <v>10.035746725747682</v>
      </c>
      <c r="F25" s="51">
        <f t="shared" si="27"/>
        <v>10.850649359878396</v>
      </c>
      <c r="G25" s="51">
        <f t="shared" si="27"/>
        <v>11.731722087900522</v>
      </c>
      <c r="H25" s="51">
        <f t="shared" si="27"/>
        <v>12.684337921438047</v>
      </c>
      <c r="I25" s="51">
        <f t="shared" ref="I25:M25" si="28">I26+I27</f>
        <v>13.714306160658817</v>
      </c>
      <c r="J25" s="51">
        <f t="shared" si="28"/>
        <v>14.827907820904315</v>
      </c>
      <c r="K25" s="51">
        <f t="shared" si="28"/>
        <v>16.031933935961739</v>
      </c>
      <c r="L25" s="51">
        <f t="shared" si="28"/>
        <v>17.333726971561834</v>
      </c>
      <c r="M25" s="51">
        <f t="shared" si="28"/>
        <v>18.741225601652658</v>
      </c>
    </row>
    <row r="26" spans="1:15" s="35" customFormat="1" x14ac:dyDescent="0.45">
      <c r="A26" s="30" t="s">
        <v>244</v>
      </c>
      <c r="B26" s="45">
        <f>B14*B20</f>
        <v>0.42924735000000003</v>
      </c>
      <c r="C26" s="36"/>
      <c r="D26" s="51">
        <f>D14*D20</f>
        <v>0.46410223482000013</v>
      </c>
      <c r="E26" s="51">
        <f t="shared" ref="E26:H26" si="29">E14*E20</f>
        <v>0.50178733628738426</v>
      </c>
      <c r="F26" s="51">
        <f t="shared" si="29"/>
        <v>0.54253246799391985</v>
      </c>
      <c r="G26" s="51">
        <f t="shared" si="29"/>
        <v>0.58658610439502612</v>
      </c>
      <c r="H26" s="51">
        <f t="shared" si="29"/>
        <v>0.63421689607190235</v>
      </c>
      <c r="I26" s="51">
        <f t="shared" ref="I26:M26" si="30">I14*I20</f>
        <v>0.6857153080329409</v>
      </c>
      <c r="J26" s="51">
        <f t="shared" si="30"/>
        <v>0.74139539104521568</v>
      </c>
      <c r="K26" s="51">
        <f t="shared" si="30"/>
        <v>0.80159669679808698</v>
      </c>
      <c r="L26" s="51">
        <f t="shared" si="30"/>
        <v>0.86668634857809179</v>
      </c>
      <c r="M26" s="51">
        <f t="shared" si="30"/>
        <v>0.93706128008263301</v>
      </c>
    </row>
    <row r="27" spans="1:15" s="35" customFormat="1" x14ac:dyDescent="0.45">
      <c r="A27" s="30" t="s">
        <v>155</v>
      </c>
      <c r="B27" s="45">
        <f>B15*B21</f>
        <v>8.1556996500000007</v>
      </c>
      <c r="C27" s="36"/>
      <c r="D27" s="51">
        <f>D15*D21</f>
        <v>8.8179424615800031</v>
      </c>
      <c r="E27" s="51">
        <f t="shared" ref="E27:H27" si="31">E15*E21</f>
        <v>9.5339593894602981</v>
      </c>
      <c r="F27" s="51">
        <f t="shared" si="31"/>
        <v>10.308116891884476</v>
      </c>
      <c r="G27" s="51">
        <f t="shared" si="31"/>
        <v>11.145135983505496</v>
      </c>
      <c r="H27" s="51">
        <f t="shared" si="31"/>
        <v>12.050121025366144</v>
      </c>
      <c r="I27" s="51">
        <f t="shared" ref="I27:M27" si="32">I15*I21</f>
        <v>13.028590852625875</v>
      </c>
      <c r="J27" s="51">
        <f t="shared" si="32"/>
        <v>14.086512429859098</v>
      </c>
      <c r="K27" s="51">
        <f t="shared" si="32"/>
        <v>15.230337239163653</v>
      </c>
      <c r="L27" s="51">
        <f t="shared" si="32"/>
        <v>16.467040622983742</v>
      </c>
      <c r="M27" s="51">
        <f t="shared" si="32"/>
        <v>17.804164321570024</v>
      </c>
    </row>
    <row r="28" spans="1:15" s="35" customFormat="1" x14ac:dyDescent="0.45">
      <c r="A28" s="32"/>
      <c r="B28" s="46"/>
      <c r="C28" s="32"/>
      <c r="D28" s="32"/>
      <c r="E28" s="32"/>
      <c r="F28" s="32"/>
      <c r="G28" s="32"/>
      <c r="H28" s="32"/>
      <c r="I28" s="39"/>
      <c r="J28" s="32"/>
      <c r="K28" s="22"/>
      <c r="L28" s="22"/>
      <c r="M28" s="40"/>
    </row>
    <row r="29" spans="1:15" x14ac:dyDescent="0.45">
      <c r="A29" s="41"/>
    </row>
    <row r="30" spans="1:15" x14ac:dyDescent="0.45">
      <c r="A30" s="41"/>
    </row>
    <row r="32" spans="1:15" x14ac:dyDescent="0.45">
      <c r="A32" s="41"/>
      <c r="I32" s="22"/>
    </row>
  </sheetData>
  <sheetProtection algorithmName="SHA-512" hashValue="HVDxohkWnXtB86Brqml9m5mbtmCoXXwWGTe7CWGvKg4tybuAoEoCVlZN3qEeTZThhZIYAsRo8pZaaUigjRiEbw==" saltValue="+fz4TLdy+/mf7+eNVhx+ZA==" spinCount="100000" sheet="1" objects="1" scenarios="1" selectLockedCell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82"/>
  <sheetViews>
    <sheetView topLeftCell="A31" zoomScale="70" zoomScaleNormal="70" workbookViewId="0">
      <selection activeCell="I9" sqref="I9"/>
    </sheetView>
  </sheetViews>
  <sheetFormatPr defaultRowHeight="14.25" x14ac:dyDescent="0.45"/>
  <cols>
    <col min="1" max="1" width="45.3984375" style="22" customWidth="1"/>
    <col min="2" max="2" width="21.73046875" style="22" customWidth="1"/>
    <col min="3" max="3" width="15.1328125" style="22" customWidth="1"/>
    <col min="4" max="4" width="12.59765625" style="22" customWidth="1"/>
    <col min="5" max="5" width="13.53125" style="22" customWidth="1"/>
    <col min="6" max="6" width="11.73046875" style="22" customWidth="1"/>
    <col min="7" max="7" width="11.59765625" style="22" customWidth="1"/>
    <col min="8" max="8" width="11.265625" style="22" customWidth="1"/>
    <col min="9" max="9" width="11.59765625" style="22" customWidth="1"/>
    <col min="10" max="10" width="12.33203125" style="22" customWidth="1"/>
    <col min="11" max="11" width="13.6640625" style="22" customWidth="1"/>
    <col min="12" max="12" width="19.06640625" style="22" customWidth="1"/>
    <col min="13" max="13" width="11.796875" style="176" customWidth="1"/>
    <col min="14" max="14" width="12" style="176" customWidth="1"/>
    <col min="15" max="15" width="9.06640625" style="22"/>
    <col min="16" max="16" width="5.53125" style="22" customWidth="1"/>
    <col min="17" max="17" width="9.06640625" style="22" customWidth="1"/>
    <col min="18" max="18" width="9.73046875" style="22" customWidth="1"/>
    <col min="19" max="19" width="10.46484375" style="22" customWidth="1"/>
    <col min="20" max="20" width="9.06640625" style="22"/>
    <col min="21" max="21" width="7.1328125" style="22" customWidth="1"/>
    <col min="22" max="22" width="6.796875" style="22" customWidth="1"/>
    <col min="23" max="16384" width="9.06640625" style="22"/>
  </cols>
  <sheetData>
    <row r="1" spans="1:22" ht="20.65" x14ac:dyDescent="0.6">
      <c r="A1" s="599" t="s">
        <v>421</v>
      </c>
      <c r="B1" s="653" t="str">
        <f>MKT!C1</f>
        <v>UK</v>
      </c>
      <c r="C1" s="249"/>
    </row>
    <row r="2" spans="1:22" ht="17.649999999999999" x14ac:dyDescent="0.5">
      <c r="A2" s="601"/>
      <c r="B2" s="248"/>
      <c r="C2" s="249"/>
    </row>
    <row r="3" spans="1:22" ht="14.65" thickBot="1" x14ac:dyDescent="0.5">
      <c r="A3" s="120"/>
      <c r="L3" s="32"/>
      <c r="P3" s="250"/>
      <c r="Q3" s="251"/>
      <c r="R3" s="250"/>
      <c r="S3" s="251"/>
      <c r="T3" s="250"/>
      <c r="U3" s="251"/>
      <c r="V3" s="250"/>
    </row>
    <row r="4" spans="1:22" x14ac:dyDescent="0.45">
      <c r="A4" s="901" t="s">
        <v>202</v>
      </c>
      <c r="B4" s="902"/>
      <c r="C4" s="903" t="s">
        <v>179</v>
      </c>
      <c r="D4" s="903" t="s">
        <v>180</v>
      </c>
      <c r="E4" s="903" t="s">
        <v>181</v>
      </c>
      <c r="F4" s="904" t="s">
        <v>6</v>
      </c>
      <c r="H4" s="252"/>
      <c r="L4" s="32"/>
    </row>
    <row r="5" spans="1:22" x14ac:dyDescent="0.45">
      <c r="A5" s="586" t="s">
        <v>229</v>
      </c>
      <c r="B5" s="30"/>
      <c r="C5" s="900" t="str">
        <f>MKT!E6</f>
        <v>&gt;1000</v>
      </c>
      <c r="D5" s="900" t="str">
        <f>MKT!F6</f>
        <v>200-1000</v>
      </c>
      <c r="E5" s="900" t="str">
        <f>MKT!G6</f>
        <v>&lt;200</v>
      </c>
      <c r="F5" s="905"/>
      <c r="H5" s="252"/>
      <c r="L5" s="32"/>
    </row>
    <row r="6" spans="1:22" x14ac:dyDescent="0.45">
      <c r="A6" s="586" t="s">
        <v>913</v>
      </c>
      <c r="B6" s="30"/>
      <c r="C6" s="344">
        <f>MKT!E24</f>
        <v>0.5</v>
      </c>
      <c r="D6" s="344">
        <f>MKT!F24</f>
        <v>0.34</v>
      </c>
      <c r="E6" s="344">
        <f>MKT!G24</f>
        <v>0.15999999999999998</v>
      </c>
      <c r="F6" s="905"/>
      <c r="H6" s="252"/>
      <c r="L6" s="32"/>
    </row>
    <row r="7" spans="1:22" x14ac:dyDescent="0.45">
      <c r="A7" s="586" t="s">
        <v>914</v>
      </c>
      <c r="B7" s="30"/>
      <c r="C7" s="344">
        <f>MKT!E23</f>
        <v>2.0554796064305412E-2</v>
      </c>
      <c r="D7" s="344">
        <f>MKT!F23</f>
        <v>3.8172651758235907E-2</v>
      </c>
      <c r="E7" s="344">
        <f>MKT!G23</f>
        <v>0.94127255217745864</v>
      </c>
      <c r="F7" s="905"/>
      <c r="H7" s="252"/>
      <c r="L7" s="32"/>
    </row>
    <row r="8" spans="1:22" x14ac:dyDescent="0.45">
      <c r="A8" s="586" t="s">
        <v>228</v>
      </c>
      <c r="B8" s="30"/>
      <c r="C8" s="384">
        <v>250</v>
      </c>
      <c r="D8" s="122">
        <v>400</v>
      </c>
      <c r="E8" s="122">
        <v>10000</v>
      </c>
      <c r="F8" s="307">
        <f t="shared" ref="F8:F9" si="0">($C$6*C8)+($D$6*D8)+($E$6*E8)</f>
        <v>1860.9999999999998</v>
      </c>
      <c r="H8" s="252"/>
      <c r="L8" s="32"/>
    </row>
    <row r="9" spans="1:22" ht="14.65" thickBot="1" x14ac:dyDescent="0.5">
      <c r="A9" s="585" t="s">
        <v>843</v>
      </c>
      <c r="B9" s="906"/>
      <c r="C9" s="742">
        <f>C8/2</f>
        <v>125</v>
      </c>
      <c r="D9" s="742">
        <f t="shared" ref="D9:E9" si="1">D8/2</f>
        <v>200</v>
      </c>
      <c r="E9" s="742">
        <f t="shared" si="1"/>
        <v>5000</v>
      </c>
      <c r="F9" s="307">
        <f t="shared" si="0"/>
        <v>930.49999999999989</v>
      </c>
      <c r="H9" s="252"/>
      <c r="L9" s="32"/>
    </row>
    <row r="10" spans="1:22" x14ac:dyDescent="0.45">
      <c r="A10" s="120"/>
      <c r="H10" s="252"/>
      <c r="L10" s="32"/>
    </row>
    <row r="11" spans="1:22" x14ac:dyDescent="0.45">
      <c r="A11" s="120"/>
      <c r="H11" s="252"/>
      <c r="L11" s="32"/>
    </row>
    <row r="12" spans="1:22" ht="14.65" thickBot="1" x14ac:dyDescent="0.5">
      <c r="A12" s="120"/>
      <c r="L12" s="32"/>
    </row>
    <row r="13" spans="1:22" x14ac:dyDescent="0.45">
      <c r="A13" s="931" t="s">
        <v>915</v>
      </c>
      <c r="B13" s="154" t="s">
        <v>884</v>
      </c>
      <c r="C13" s="154" t="s">
        <v>439</v>
      </c>
      <c r="D13" s="154" t="s">
        <v>440</v>
      </c>
      <c r="E13" s="154" t="s">
        <v>441</v>
      </c>
      <c r="F13" s="155" t="s">
        <v>916</v>
      </c>
    </row>
    <row r="14" spans="1:22" x14ac:dyDescent="0.45">
      <c r="A14" s="586" t="s">
        <v>228</v>
      </c>
      <c r="B14" s="30"/>
      <c r="C14" s="296">
        <f>DOPN1!B18</f>
        <v>250</v>
      </c>
      <c r="D14" s="296">
        <f>DOPN1!C18</f>
        <v>400</v>
      </c>
      <c r="E14" s="296">
        <f>DOPN1!D18</f>
        <v>10000</v>
      </c>
      <c r="F14" s="253"/>
    </row>
    <row r="15" spans="1:22" x14ac:dyDescent="0.45">
      <c r="A15" s="586" t="s">
        <v>446</v>
      </c>
      <c r="B15" s="30"/>
      <c r="C15" s="43">
        <f>C14/2</f>
        <v>125</v>
      </c>
      <c r="D15" s="43">
        <f t="shared" ref="D15:E15" si="2">D14/2</f>
        <v>200</v>
      </c>
      <c r="E15" s="43">
        <f t="shared" si="2"/>
        <v>5000</v>
      </c>
      <c r="F15" s="253"/>
    </row>
    <row r="16" spans="1:22" x14ac:dyDescent="0.45">
      <c r="A16" s="586" t="s">
        <v>458</v>
      </c>
      <c r="B16" s="135">
        <v>4</v>
      </c>
      <c r="C16" s="50">
        <f>C14/($B$16*1000/60)</f>
        <v>3.7499999999999996</v>
      </c>
      <c r="D16" s="50">
        <f>D14/($B$16*1000/60)</f>
        <v>6</v>
      </c>
      <c r="E16" s="50">
        <f>E14/($B$16*1000/60)</f>
        <v>150</v>
      </c>
      <c r="F16" s="253"/>
    </row>
    <row r="17" spans="1:14" x14ac:dyDescent="0.45">
      <c r="A17" s="586" t="s">
        <v>460</v>
      </c>
      <c r="B17" s="135">
        <v>30</v>
      </c>
      <c r="C17" s="50">
        <f>C14/($B$17*1000/60)</f>
        <v>0.5</v>
      </c>
      <c r="D17" s="50">
        <f>D14/($B$17*1000/60)</f>
        <v>0.8</v>
      </c>
      <c r="E17" s="50">
        <f>E14/($B$17*1000/60)</f>
        <v>20</v>
      </c>
      <c r="F17" s="253"/>
    </row>
    <row r="18" spans="1:14" x14ac:dyDescent="0.45">
      <c r="A18" s="586" t="s">
        <v>459</v>
      </c>
      <c r="B18" s="30"/>
      <c r="C18" s="7">
        <v>0.05</v>
      </c>
      <c r="D18" s="7">
        <v>0.2</v>
      </c>
      <c r="E18" s="7">
        <v>1</v>
      </c>
      <c r="F18" s="253"/>
    </row>
    <row r="19" spans="1:14" x14ac:dyDescent="0.45">
      <c r="A19" s="788" t="s">
        <v>445</v>
      </c>
      <c r="B19" s="30"/>
      <c r="C19" s="50">
        <f>((1-C18)*C16)+(C18*C17)</f>
        <v>3.5874999999999995</v>
      </c>
      <c r="D19" s="50">
        <f t="shared" ref="D19:E19" si="3">((1-D18)*D16)+(D18*D17)</f>
        <v>4.9600000000000009</v>
      </c>
      <c r="E19" s="50">
        <f t="shared" si="3"/>
        <v>20</v>
      </c>
      <c r="F19" s="297"/>
    </row>
    <row r="20" spans="1:14" x14ac:dyDescent="0.45">
      <c r="A20" s="932" t="s">
        <v>444</v>
      </c>
      <c r="B20" s="255"/>
      <c r="C20" s="47">
        <f>DOPN1!B15</f>
        <v>0.5</v>
      </c>
      <c r="D20" s="47">
        <f>DOPN1!C15</f>
        <v>0.34</v>
      </c>
      <c r="E20" s="47">
        <f>DOPN1!D15</f>
        <v>0.15999999999999998</v>
      </c>
      <c r="F20" s="297"/>
      <c r="H20" s="32"/>
      <c r="K20" s="254"/>
      <c r="L20" s="32"/>
    </row>
    <row r="21" spans="1:14" ht="14.65" thickBot="1" x14ac:dyDescent="0.5">
      <c r="A21" s="933" t="s">
        <v>858</v>
      </c>
      <c r="B21" s="256"/>
      <c r="C21" s="298"/>
      <c r="D21" s="298"/>
      <c r="E21" s="299"/>
      <c r="F21" s="247">
        <f>C20*C19+D20*D19+E20*E19</f>
        <v>6.6801499999999994</v>
      </c>
      <c r="H21" s="32"/>
      <c r="K21" s="254"/>
      <c r="L21" s="32"/>
    </row>
    <row r="22" spans="1:14" x14ac:dyDescent="0.45">
      <c r="A22" s="176"/>
      <c r="B22" s="257"/>
      <c r="C22" s="257"/>
      <c r="D22" s="257"/>
      <c r="E22" s="32"/>
      <c r="F22" s="258"/>
      <c r="H22" s="32"/>
      <c r="K22" s="254"/>
      <c r="L22" s="32"/>
    </row>
    <row r="23" spans="1:14" x14ac:dyDescent="0.45">
      <c r="A23" s="176"/>
      <c r="B23" s="257"/>
      <c r="C23" s="257"/>
      <c r="D23" s="257"/>
      <c r="E23" s="32"/>
      <c r="F23" s="258"/>
      <c r="H23" s="32"/>
      <c r="K23" s="254"/>
      <c r="L23" s="32"/>
    </row>
    <row r="24" spans="1:14" x14ac:dyDescent="0.45">
      <c r="A24" s="259"/>
      <c r="H24" s="32"/>
      <c r="K24" s="254"/>
      <c r="L24" s="32"/>
    </row>
    <row r="25" spans="1:14" x14ac:dyDescent="0.45">
      <c r="A25" s="934" t="s">
        <v>906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4" ht="14.65" thickBot="1" x14ac:dyDescent="0.5">
      <c r="A26" s="26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4" x14ac:dyDescent="0.45">
      <c r="A27" s="262"/>
      <c r="B27" s="942" t="s">
        <v>462</v>
      </c>
      <c r="C27" s="943"/>
      <c r="D27" s="943"/>
      <c r="E27" s="943"/>
      <c r="F27" s="265"/>
      <c r="G27" s="948" t="s">
        <v>461</v>
      </c>
      <c r="H27" s="951"/>
      <c r="I27" s="955"/>
      <c r="J27" s="263" t="s">
        <v>413</v>
      </c>
      <c r="K27" s="264"/>
      <c r="L27" s="959" t="s">
        <v>405</v>
      </c>
      <c r="M27" s="266"/>
      <c r="N27" s="266"/>
    </row>
    <row r="28" spans="1:14" ht="28.9" thickBot="1" x14ac:dyDescent="0.5">
      <c r="A28" s="935" t="s">
        <v>863</v>
      </c>
      <c r="B28" s="944" t="s">
        <v>848</v>
      </c>
      <c r="C28" s="945" t="s">
        <v>849</v>
      </c>
      <c r="D28" s="267" t="s">
        <v>850</v>
      </c>
      <c r="E28" s="267" t="s">
        <v>851</v>
      </c>
      <c r="F28" s="268" t="s">
        <v>852</v>
      </c>
      <c r="G28" s="949" t="s">
        <v>409</v>
      </c>
      <c r="H28" s="952" t="s">
        <v>410</v>
      </c>
      <c r="I28" s="956" t="s">
        <v>414</v>
      </c>
      <c r="J28" s="269" t="s">
        <v>177</v>
      </c>
      <c r="K28" s="270" t="s">
        <v>919</v>
      </c>
      <c r="L28" s="960"/>
      <c r="M28" s="266"/>
      <c r="N28" s="266"/>
    </row>
    <row r="29" spans="1:14" x14ac:dyDescent="0.45">
      <c r="A29" s="936" t="s">
        <v>346</v>
      </c>
      <c r="B29" s="788"/>
      <c r="C29" s="946" t="s">
        <v>847</v>
      </c>
      <c r="D29" s="135">
        <v>30</v>
      </c>
      <c r="E29" s="300">
        <f>$F$21</f>
        <v>6.6801499999999994</v>
      </c>
      <c r="F29" s="172">
        <f t="shared" ref="F29:F32" si="4">D29-E29</f>
        <v>23.319850000000002</v>
      </c>
      <c r="G29" s="788" t="s">
        <v>178</v>
      </c>
      <c r="H29" s="336" t="s">
        <v>178</v>
      </c>
      <c r="I29" s="810" t="s">
        <v>178</v>
      </c>
      <c r="J29" s="303">
        <f>'MKT1'!B13</f>
        <v>0.05</v>
      </c>
      <c r="K29" s="271">
        <v>0.4</v>
      </c>
      <c r="L29" s="439" t="s">
        <v>406</v>
      </c>
    </row>
    <row r="30" spans="1:14" x14ac:dyDescent="0.45">
      <c r="A30" s="936" t="s">
        <v>347</v>
      </c>
      <c r="B30" s="788"/>
      <c r="C30" s="946" t="s">
        <v>847</v>
      </c>
      <c r="D30" s="135">
        <v>30</v>
      </c>
      <c r="E30" s="300">
        <f>$F$21</f>
        <v>6.6801499999999994</v>
      </c>
      <c r="F30" s="172">
        <f t="shared" si="4"/>
        <v>23.319850000000002</v>
      </c>
      <c r="G30" s="788"/>
      <c r="H30" s="336"/>
      <c r="I30" s="810" t="s">
        <v>178</v>
      </c>
      <c r="J30" s="272">
        <v>0.2</v>
      </c>
      <c r="K30" s="305">
        <f>J30</f>
        <v>0.2</v>
      </c>
      <c r="L30" s="439" t="s">
        <v>407</v>
      </c>
    </row>
    <row r="31" spans="1:14" x14ac:dyDescent="0.45">
      <c r="A31" s="936" t="s">
        <v>348</v>
      </c>
      <c r="B31" s="788"/>
      <c r="C31" s="946" t="s">
        <v>847</v>
      </c>
      <c r="D31" s="135">
        <v>45</v>
      </c>
      <c r="E31" s="300">
        <f>$F$21</f>
        <v>6.6801499999999994</v>
      </c>
      <c r="F31" s="172">
        <f t="shared" si="4"/>
        <v>38.319850000000002</v>
      </c>
      <c r="G31" s="788"/>
      <c r="H31" s="336" t="s">
        <v>411</v>
      </c>
      <c r="I31" s="810" t="s">
        <v>404</v>
      </c>
      <c r="J31" s="967">
        <v>0.05</v>
      </c>
      <c r="K31" s="271">
        <v>0.01</v>
      </c>
      <c r="L31" s="439" t="s">
        <v>408</v>
      </c>
    </row>
    <row r="32" spans="1:14" x14ac:dyDescent="0.45">
      <c r="A32" s="936" t="s">
        <v>349</v>
      </c>
      <c r="B32" s="788"/>
      <c r="C32" s="946" t="s">
        <v>847</v>
      </c>
      <c r="D32" s="135">
        <v>30</v>
      </c>
      <c r="E32" s="300">
        <f>$F$21</f>
        <v>6.6801499999999994</v>
      </c>
      <c r="F32" s="172">
        <f t="shared" si="4"/>
        <v>23.319850000000002</v>
      </c>
      <c r="G32" s="788"/>
      <c r="H32" s="336"/>
      <c r="I32" s="810" t="s">
        <v>403</v>
      </c>
      <c r="J32" s="272">
        <v>5.0000000000000001E-3</v>
      </c>
      <c r="K32" s="305">
        <f>J32</f>
        <v>5.0000000000000001E-3</v>
      </c>
      <c r="L32" s="439" t="s">
        <v>295</v>
      </c>
    </row>
    <row r="33" spans="1:12" x14ac:dyDescent="0.45">
      <c r="A33" s="937" t="s">
        <v>350</v>
      </c>
      <c r="B33" s="788"/>
      <c r="C33" s="946"/>
      <c r="D33" s="273">
        <v>5</v>
      </c>
      <c r="E33" s="301">
        <f>D33</f>
        <v>5</v>
      </c>
      <c r="F33" s="201">
        <f>D33-E33</f>
        <v>0</v>
      </c>
      <c r="G33" s="950"/>
      <c r="H33" s="953"/>
      <c r="I33" s="957"/>
      <c r="J33" s="304">
        <f>1-J29</f>
        <v>0.95</v>
      </c>
      <c r="K33" s="306">
        <f>1-K29</f>
        <v>0.6</v>
      </c>
      <c r="L33" s="961" t="s">
        <v>406</v>
      </c>
    </row>
    <row r="34" spans="1:12" ht="14.65" thickBot="1" x14ac:dyDescent="0.5">
      <c r="A34" s="938" t="s">
        <v>351</v>
      </c>
      <c r="B34" s="933" t="s">
        <v>178</v>
      </c>
      <c r="C34" s="947" t="s">
        <v>847</v>
      </c>
      <c r="D34" s="274">
        <v>5</v>
      </c>
      <c r="E34" s="302">
        <f>D34</f>
        <v>5</v>
      </c>
      <c r="F34" s="247">
        <f>D34-E34</f>
        <v>0</v>
      </c>
      <c r="G34" s="933" t="s">
        <v>178</v>
      </c>
      <c r="H34" s="954"/>
      <c r="I34" s="958"/>
      <c r="J34" s="275">
        <v>5.0000000000000001E-3</v>
      </c>
      <c r="K34" s="276">
        <v>0.05</v>
      </c>
      <c r="L34" s="962" t="s">
        <v>197</v>
      </c>
    </row>
    <row r="35" spans="1:12" x14ac:dyDescent="0.45">
      <c r="A35" s="32"/>
      <c r="B35" s="176"/>
      <c r="C35" s="277"/>
      <c r="D35" s="278"/>
      <c r="E35" s="278"/>
      <c r="F35" s="278"/>
      <c r="G35" s="176"/>
      <c r="H35" s="176"/>
      <c r="I35" s="176"/>
      <c r="J35" s="279"/>
      <c r="K35" s="279"/>
      <c r="L35" s="176"/>
    </row>
    <row r="36" spans="1:12" ht="14.65" thickBot="1" x14ac:dyDescent="0.5">
      <c r="A36" s="32"/>
      <c r="B36" s="176"/>
      <c r="C36" s="277"/>
      <c r="D36" s="278"/>
      <c r="E36" s="278"/>
      <c r="F36" s="278"/>
      <c r="G36" s="176"/>
      <c r="H36" s="176"/>
      <c r="I36" s="176"/>
      <c r="J36" s="279"/>
      <c r="K36" s="279"/>
      <c r="L36" s="176"/>
    </row>
    <row r="37" spans="1:12" x14ac:dyDescent="0.45">
      <c r="A37" s="939" t="s">
        <v>355</v>
      </c>
      <c r="B37" s="280"/>
      <c r="C37" s="281" t="s">
        <v>142</v>
      </c>
      <c r="D37" s="278"/>
      <c r="E37" s="278"/>
      <c r="F37" s="278"/>
      <c r="G37" s="176"/>
      <c r="H37" s="176"/>
      <c r="I37" s="176"/>
      <c r="J37" s="279"/>
      <c r="K37" s="279"/>
      <c r="L37" s="176"/>
    </row>
    <row r="38" spans="1:12" ht="14.65" thickBot="1" x14ac:dyDescent="0.5">
      <c r="A38" s="282"/>
      <c r="B38" s="283"/>
      <c r="C38" s="284"/>
      <c r="D38" s="278"/>
      <c r="E38" s="278"/>
      <c r="F38" s="278"/>
      <c r="G38" s="176"/>
      <c r="H38" s="176"/>
      <c r="I38" s="176"/>
      <c r="J38" s="279"/>
      <c r="K38" s="279"/>
      <c r="L38" s="176"/>
    </row>
    <row r="39" spans="1:12" x14ac:dyDescent="0.45">
      <c r="A39" s="940" t="s">
        <v>352</v>
      </c>
      <c r="B39" s="285"/>
      <c r="C39" s="286"/>
      <c r="D39" s="278"/>
      <c r="E39" s="278"/>
      <c r="F39" s="278"/>
      <c r="G39" s="176"/>
      <c r="H39" s="176"/>
      <c r="I39" s="176"/>
      <c r="J39" s="279"/>
      <c r="K39" s="279"/>
      <c r="L39" s="176"/>
    </row>
    <row r="40" spans="1:12" x14ac:dyDescent="0.45">
      <c r="A40" s="941" t="s">
        <v>396</v>
      </c>
      <c r="B40" s="30"/>
      <c r="C40" s="307">
        <f>(('MKT2'!$M$12*J33*D33)-('MKT2'!$M$12*K33*E33))/60*1000</f>
        <v>159.40565129876336</v>
      </c>
      <c r="D40" s="278"/>
      <c r="E40" s="278"/>
      <c r="F40" s="278"/>
      <c r="G40" s="176"/>
      <c r="H40" s="176"/>
      <c r="I40" s="176"/>
      <c r="J40" s="279"/>
      <c r="K40" s="279"/>
      <c r="L40" s="176"/>
    </row>
    <row r="41" spans="1:12" x14ac:dyDescent="0.45">
      <c r="A41" s="586" t="s">
        <v>397</v>
      </c>
      <c r="B41" s="30"/>
      <c r="C41" s="307">
        <f>('MKT2'!M31*1000)*(D29-E29)/60</f>
        <v>849.6722005575923</v>
      </c>
      <c r="D41" s="278"/>
      <c r="E41" s="278"/>
      <c r="F41" s="278"/>
      <c r="G41" s="176"/>
      <c r="H41" s="176"/>
      <c r="I41" s="176"/>
      <c r="J41" s="279"/>
      <c r="K41" s="279"/>
      <c r="L41" s="176"/>
    </row>
    <row r="42" spans="1:12" x14ac:dyDescent="0.45">
      <c r="A42" s="586" t="s">
        <v>398</v>
      </c>
      <c r="B42" s="30"/>
      <c r="C42" s="307">
        <f>('MKT2'!M32*1000)*(D30-E30)/60</f>
        <v>169.93444011151848</v>
      </c>
      <c r="D42" s="278"/>
      <c r="E42" s="278"/>
      <c r="F42" s="278"/>
      <c r="G42" s="176"/>
      <c r="H42" s="176"/>
      <c r="I42" s="176"/>
      <c r="J42" s="279"/>
      <c r="K42" s="279"/>
      <c r="L42" s="176"/>
    </row>
    <row r="43" spans="1:12" x14ac:dyDescent="0.45">
      <c r="A43" s="586" t="s">
        <v>399</v>
      </c>
      <c r="B43" s="30"/>
      <c r="C43" s="307">
        <f>('MKT2'!M33*1000)*E31/60</f>
        <v>14.60370735803566</v>
      </c>
      <c r="D43" s="278"/>
      <c r="E43" s="278"/>
      <c r="F43" s="278"/>
      <c r="G43" s="176"/>
      <c r="H43" s="176"/>
      <c r="I43" s="176"/>
      <c r="J43" s="279"/>
      <c r="K43" s="279"/>
      <c r="L43" s="176"/>
    </row>
    <row r="44" spans="1:12" x14ac:dyDescent="0.45">
      <c r="A44" s="586" t="s">
        <v>400</v>
      </c>
      <c r="B44" s="30"/>
      <c r="C44" s="307">
        <f>('MKT2'!M34*1000)*(D32-E32)/60</f>
        <v>13.414016755140517</v>
      </c>
      <c r="D44" s="278"/>
      <c r="E44" s="278"/>
      <c r="F44" s="278"/>
      <c r="G44" s="176"/>
      <c r="H44" s="176"/>
      <c r="I44" s="176"/>
      <c r="J44" s="279"/>
      <c r="K44" s="279"/>
      <c r="L44" s="176"/>
    </row>
    <row r="45" spans="1:12" x14ac:dyDescent="0.45">
      <c r="A45" s="586" t="s">
        <v>401</v>
      </c>
      <c r="B45" s="30"/>
      <c r="C45" s="307">
        <f>('MKT2'!M35*1000)*(D34-E34)/60</f>
        <v>0</v>
      </c>
      <c r="D45" s="278"/>
      <c r="E45" s="278"/>
      <c r="F45" s="278"/>
      <c r="G45" s="176"/>
      <c r="H45" s="176"/>
      <c r="I45" s="176"/>
      <c r="J45" s="279"/>
      <c r="K45" s="279"/>
      <c r="L45" s="176"/>
    </row>
    <row r="46" spans="1:12" x14ac:dyDescent="0.45">
      <c r="A46" s="586" t="s">
        <v>402</v>
      </c>
      <c r="B46" s="30"/>
      <c r="C46" s="307">
        <f>SUM(C40:C45)</f>
        <v>1207.0300160810505</v>
      </c>
      <c r="D46" s="278"/>
      <c r="E46" s="278"/>
      <c r="F46" s="278"/>
      <c r="G46" s="176"/>
      <c r="H46" s="176"/>
      <c r="I46" s="176"/>
      <c r="J46" s="279"/>
      <c r="K46" s="279"/>
      <c r="L46" s="176"/>
    </row>
    <row r="47" spans="1:12" x14ac:dyDescent="0.45">
      <c r="A47" s="413" t="s">
        <v>412</v>
      </c>
      <c r="B47" s="287">
        <v>10</v>
      </c>
      <c r="C47" s="308">
        <f>B47*C46/1000</f>
        <v>12.070300160810504</v>
      </c>
      <c r="D47" s="278"/>
      <c r="E47" s="278"/>
      <c r="F47" s="278"/>
      <c r="G47" s="176"/>
      <c r="H47" s="176"/>
      <c r="I47" s="176"/>
      <c r="J47" s="279"/>
      <c r="K47" s="279"/>
      <c r="L47" s="176"/>
    </row>
    <row r="48" spans="1:12" x14ac:dyDescent="0.45">
      <c r="A48" s="413" t="s">
        <v>293</v>
      </c>
      <c r="B48" s="255"/>
      <c r="C48" s="309">
        <f>ETAIL!E28</f>
        <v>4.9936207401437872E-2</v>
      </c>
      <c r="D48" s="278"/>
      <c r="E48" s="278"/>
      <c r="F48" s="278"/>
      <c r="G48" s="176"/>
      <c r="H48" s="176"/>
      <c r="I48" s="176"/>
      <c r="J48" s="279"/>
      <c r="K48" s="279"/>
      <c r="L48" s="176"/>
    </row>
    <row r="49" spans="1:12" x14ac:dyDescent="0.45">
      <c r="A49" s="413" t="s">
        <v>415</v>
      </c>
      <c r="B49" s="255"/>
      <c r="C49" s="309">
        <f>DOPN2!L20/1000000</f>
        <v>9.5237829021547725E-3</v>
      </c>
      <c r="D49" s="278"/>
      <c r="E49" s="278"/>
      <c r="F49" s="278"/>
      <c r="G49" s="176"/>
      <c r="H49" s="176"/>
      <c r="I49" s="176"/>
      <c r="J49" s="279"/>
      <c r="K49" s="279"/>
      <c r="L49" s="176"/>
    </row>
    <row r="50" spans="1:12" x14ac:dyDescent="0.45">
      <c r="A50" s="586"/>
      <c r="B50" s="255"/>
      <c r="C50" s="310"/>
      <c r="D50" s="278"/>
      <c r="E50" s="278"/>
      <c r="F50" s="278"/>
      <c r="G50" s="176"/>
      <c r="H50" s="176"/>
      <c r="I50" s="176"/>
      <c r="J50" s="279"/>
      <c r="K50" s="279"/>
      <c r="L50" s="176"/>
    </row>
    <row r="51" spans="1:12" ht="14.65" thickBot="1" x14ac:dyDescent="0.5">
      <c r="A51" s="963" t="s">
        <v>294</v>
      </c>
      <c r="B51" s="288"/>
      <c r="C51" s="311">
        <f>SUM(C47:C50)</f>
        <v>12.129760151114096</v>
      </c>
      <c r="D51" s="278"/>
      <c r="E51" s="278"/>
      <c r="F51" s="278"/>
      <c r="G51" s="176"/>
      <c r="H51" s="176"/>
      <c r="I51" s="176"/>
      <c r="J51" s="279"/>
      <c r="K51" s="279"/>
      <c r="L51" s="176"/>
    </row>
    <row r="52" spans="1:12" x14ac:dyDescent="0.45">
      <c r="A52" s="289"/>
      <c r="B52" s="290"/>
      <c r="C52" s="291"/>
      <c r="D52" s="278"/>
      <c r="E52" s="278"/>
      <c r="F52" s="278"/>
      <c r="G52" s="176"/>
      <c r="H52" s="176"/>
      <c r="I52" s="176"/>
      <c r="J52" s="279"/>
      <c r="K52" s="279"/>
      <c r="L52" s="176"/>
    </row>
    <row r="53" spans="1:12" x14ac:dyDescent="0.45">
      <c r="A53" s="289"/>
      <c r="B53" s="290"/>
      <c r="C53" s="291"/>
      <c r="D53" s="278"/>
      <c r="E53" s="278"/>
      <c r="F53" s="278"/>
      <c r="G53" s="176"/>
      <c r="H53" s="176"/>
      <c r="I53" s="176"/>
      <c r="J53" s="279"/>
      <c r="K53" s="279"/>
      <c r="L53" s="176"/>
    </row>
    <row r="55" spans="1:12" x14ac:dyDescent="0.45">
      <c r="A55" s="934" t="s">
        <v>463</v>
      </c>
      <c r="B55" s="176"/>
      <c r="C55" s="152"/>
    </row>
    <row r="56" spans="1:12" ht="14.65" thickBot="1" x14ac:dyDescent="0.5">
      <c r="A56" s="934"/>
      <c r="B56" s="176"/>
      <c r="C56" s="152"/>
    </row>
    <row r="57" spans="1:12" x14ac:dyDescent="0.45">
      <c r="A57" s="964" t="s">
        <v>895</v>
      </c>
      <c r="B57" s="890" t="s">
        <v>9</v>
      </c>
      <c r="C57" s="890" t="s">
        <v>10</v>
      </c>
      <c r="D57" s="890" t="s">
        <v>11</v>
      </c>
      <c r="E57" s="890" t="s">
        <v>12</v>
      </c>
      <c r="F57" s="890" t="s">
        <v>13</v>
      </c>
      <c r="G57" s="890" t="s">
        <v>138</v>
      </c>
      <c r="H57" s="890" t="s">
        <v>139</v>
      </c>
      <c r="I57" s="890" t="s">
        <v>140</v>
      </c>
      <c r="J57" s="890" t="s">
        <v>141</v>
      </c>
      <c r="K57" s="890" t="s">
        <v>142</v>
      </c>
    </row>
    <row r="58" spans="1:12" x14ac:dyDescent="0.45">
      <c r="A58" s="788" t="s">
        <v>897</v>
      </c>
      <c r="B58" s="891">
        <v>0.15</v>
      </c>
      <c r="C58" s="891">
        <v>0.25</v>
      </c>
      <c r="D58" s="891">
        <v>0.35</v>
      </c>
      <c r="E58" s="891">
        <v>0.55000000000000004</v>
      </c>
      <c r="F58" s="891">
        <v>0.85</v>
      </c>
      <c r="G58" s="891">
        <v>0.85</v>
      </c>
      <c r="H58" s="891">
        <v>0.85</v>
      </c>
      <c r="I58" s="891">
        <v>0.85</v>
      </c>
      <c r="J58" s="891">
        <v>0.85</v>
      </c>
      <c r="K58" s="891">
        <v>0.85</v>
      </c>
    </row>
    <row r="59" spans="1:12" x14ac:dyDescent="0.45">
      <c r="A59" s="788" t="s">
        <v>899</v>
      </c>
      <c r="B59" s="891">
        <v>0.1</v>
      </c>
      <c r="C59" s="891">
        <v>0.2</v>
      </c>
      <c r="D59" s="891">
        <v>0.3</v>
      </c>
      <c r="E59" s="891">
        <v>0.5</v>
      </c>
      <c r="F59" s="891">
        <v>0.7</v>
      </c>
      <c r="G59" s="891">
        <v>0.8</v>
      </c>
      <c r="H59" s="891">
        <v>0.9</v>
      </c>
      <c r="I59" s="891">
        <v>0.9</v>
      </c>
      <c r="J59" s="891">
        <v>0.9</v>
      </c>
      <c r="K59" s="891">
        <v>0.9</v>
      </c>
    </row>
    <row r="60" spans="1:12" x14ac:dyDescent="0.45">
      <c r="A60" s="965" t="s">
        <v>900</v>
      </c>
      <c r="B60" s="892">
        <v>0.8</v>
      </c>
      <c r="C60" s="892">
        <v>0.8</v>
      </c>
      <c r="D60" s="892">
        <v>0.8</v>
      </c>
      <c r="E60" s="892">
        <v>0.8</v>
      </c>
      <c r="F60" s="892">
        <v>0.8</v>
      </c>
      <c r="G60" s="892">
        <v>0.8</v>
      </c>
      <c r="H60" s="892">
        <v>0.8</v>
      </c>
      <c r="I60" s="892">
        <v>0.8</v>
      </c>
      <c r="J60" s="892">
        <v>0.8</v>
      </c>
      <c r="K60" s="892">
        <v>0.8</v>
      </c>
    </row>
    <row r="61" spans="1:12" ht="14.65" thickBot="1" x14ac:dyDescent="0.5">
      <c r="A61" s="788" t="s">
        <v>898</v>
      </c>
      <c r="B61" s="891">
        <v>0.01</v>
      </c>
      <c r="C61" s="891">
        <v>0.01</v>
      </c>
      <c r="D61" s="891">
        <v>0.01</v>
      </c>
      <c r="E61" s="891">
        <v>0.01</v>
      </c>
      <c r="F61" s="891">
        <v>0.01</v>
      </c>
      <c r="G61" s="891">
        <v>0.01</v>
      </c>
      <c r="H61" s="891">
        <v>0.01</v>
      </c>
      <c r="I61" s="891">
        <v>0.01</v>
      </c>
      <c r="J61" s="891">
        <v>0.01</v>
      </c>
      <c r="K61" s="891">
        <v>0.01</v>
      </c>
    </row>
    <row r="62" spans="1:12" ht="14.65" thickBot="1" x14ac:dyDescent="0.5">
      <c r="A62" s="966" t="s">
        <v>896</v>
      </c>
      <c r="B62" s="899">
        <f>(B58*B59*B60)+B61</f>
        <v>2.1999999999999999E-2</v>
      </c>
      <c r="C62" s="899">
        <f t="shared" ref="C62:K62" si="5">(C58*C59*C60)+C61</f>
        <v>5.000000000000001E-2</v>
      </c>
      <c r="D62" s="899">
        <f t="shared" si="5"/>
        <v>9.4E-2</v>
      </c>
      <c r="E62" s="899">
        <f t="shared" si="5"/>
        <v>0.23000000000000004</v>
      </c>
      <c r="F62" s="899">
        <f t="shared" si="5"/>
        <v>0.48599999999999999</v>
      </c>
      <c r="G62" s="899">
        <f t="shared" si="5"/>
        <v>0.55400000000000005</v>
      </c>
      <c r="H62" s="899">
        <f t="shared" si="5"/>
        <v>0.62200000000000011</v>
      </c>
      <c r="I62" s="899">
        <f t="shared" si="5"/>
        <v>0.62200000000000011</v>
      </c>
      <c r="J62" s="899">
        <f t="shared" si="5"/>
        <v>0.62200000000000011</v>
      </c>
      <c r="K62" s="899">
        <f t="shared" si="5"/>
        <v>0.62200000000000011</v>
      </c>
    </row>
    <row r="63" spans="1:12" x14ac:dyDescent="0.45">
      <c r="I63" s="292"/>
      <c r="J63" s="293"/>
    </row>
    <row r="65" spans="1:13" x14ac:dyDescent="0.45">
      <c r="D65" s="32"/>
      <c r="E65" s="32"/>
      <c r="F65" s="32"/>
      <c r="G65" s="32"/>
      <c r="H65" s="32"/>
      <c r="I65" s="32"/>
      <c r="J65" s="32"/>
      <c r="K65" s="32"/>
      <c r="L65" s="32"/>
    </row>
    <row r="66" spans="1:13" x14ac:dyDescent="0.45">
      <c r="A66" s="176"/>
      <c r="B66" s="176"/>
      <c r="C66" s="176"/>
      <c r="D66" s="32"/>
      <c r="E66" s="32"/>
      <c r="F66" s="32"/>
      <c r="G66" s="32"/>
      <c r="H66" s="32"/>
      <c r="I66" s="32"/>
      <c r="J66" s="32"/>
      <c r="K66" s="32"/>
      <c r="L66" s="32"/>
    </row>
    <row r="67" spans="1:13" x14ac:dyDescent="0.45">
      <c r="A67" s="176"/>
      <c r="B67" s="176"/>
      <c r="C67" s="176"/>
      <c r="D67" s="32"/>
      <c r="E67" s="32"/>
      <c r="I67" s="32"/>
      <c r="J67" s="32"/>
      <c r="K67" s="32"/>
      <c r="L67" s="32"/>
    </row>
    <row r="68" spans="1:13" x14ac:dyDescent="0.45">
      <c r="A68" s="893"/>
      <c r="B68" s="894"/>
      <c r="C68" s="894"/>
      <c r="D68" s="32"/>
      <c r="E68" s="32"/>
      <c r="I68" s="32"/>
      <c r="J68" s="32"/>
      <c r="K68" s="32"/>
      <c r="L68" s="32"/>
    </row>
    <row r="69" spans="1:13" x14ac:dyDescent="0.45">
      <c r="A69" s="176"/>
      <c r="B69" s="182"/>
      <c r="C69" s="176"/>
      <c r="D69" s="32"/>
      <c r="E69" s="32"/>
      <c r="K69" s="32"/>
      <c r="L69" s="32"/>
    </row>
    <row r="70" spans="1:13" x14ac:dyDescent="0.45">
      <c r="A70" s="176"/>
      <c r="B70" s="182"/>
      <c r="C70" s="176"/>
      <c r="D70" s="32"/>
      <c r="L70" s="32"/>
    </row>
    <row r="71" spans="1:13" x14ac:dyDescent="0.45">
      <c r="A71" s="176"/>
      <c r="B71" s="182"/>
      <c r="C71" s="176"/>
      <c r="D71" s="32"/>
      <c r="L71" s="32"/>
    </row>
    <row r="72" spans="1:13" x14ac:dyDescent="0.45">
      <c r="A72" s="176"/>
      <c r="B72" s="583"/>
      <c r="C72" s="895"/>
      <c r="D72" s="32"/>
      <c r="L72" s="32"/>
    </row>
    <row r="73" spans="1:13" x14ac:dyDescent="0.45">
      <c r="A73" s="176"/>
      <c r="B73" s="182"/>
      <c r="C73" s="176"/>
      <c r="D73" s="32"/>
      <c r="L73" s="32"/>
    </row>
    <row r="74" spans="1:13" x14ac:dyDescent="0.45">
      <c r="A74" s="176"/>
      <c r="B74" s="182"/>
      <c r="C74" s="176"/>
      <c r="D74" s="32"/>
      <c r="L74" s="32"/>
    </row>
    <row r="75" spans="1:13" x14ac:dyDescent="0.45">
      <c r="A75" s="176"/>
      <c r="B75" s="182"/>
      <c r="C75" s="176"/>
      <c r="D75" s="32"/>
      <c r="L75" s="257"/>
      <c r="M75" s="295"/>
    </row>
    <row r="76" spans="1:13" x14ac:dyDescent="0.45">
      <c r="A76" s="176"/>
      <c r="B76" s="182"/>
      <c r="C76" s="176"/>
      <c r="D76" s="32"/>
      <c r="L76" s="257"/>
      <c r="M76" s="295"/>
    </row>
    <row r="77" spans="1:13" x14ac:dyDescent="0.45">
      <c r="A77" s="896"/>
      <c r="B77" s="581"/>
      <c r="C77" s="897"/>
      <c r="D77" s="32"/>
      <c r="L77" s="257"/>
      <c r="M77" s="295"/>
    </row>
    <row r="78" spans="1:13" x14ac:dyDescent="0.45">
      <c r="A78" s="152"/>
      <c r="B78" s="898"/>
      <c r="C78" s="895"/>
      <c r="D78" s="32"/>
      <c r="E78" s="257"/>
      <c r="F78" s="257"/>
      <c r="G78" s="257"/>
      <c r="H78" s="257"/>
      <c r="I78" s="257"/>
      <c r="J78" s="32"/>
      <c r="K78" s="257"/>
      <c r="L78" s="257"/>
      <c r="M78" s="295"/>
    </row>
    <row r="79" spans="1:13" x14ac:dyDescent="0.45">
      <c r="D79" s="32"/>
      <c r="E79" s="257"/>
      <c r="F79" s="257"/>
      <c r="G79" s="257"/>
      <c r="H79" s="257"/>
      <c r="I79" s="257"/>
      <c r="J79" s="32"/>
      <c r="K79" s="257"/>
      <c r="L79" s="257"/>
      <c r="M79" s="295"/>
    </row>
    <row r="80" spans="1:13" x14ac:dyDescent="0.45">
      <c r="I80" s="32"/>
      <c r="J80" s="293"/>
    </row>
    <row r="81" spans="9:10" x14ac:dyDescent="0.45">
      <c r="I81" s="32"/>
      <c r="J81" s="293"/>
    </row>
    <row r="82" spans="9:10" x14ac:dyDescent="0.45">
      <c r="I82" s="32"/>
      <c r="J82" s="293"/>
    </row>
  </sheetData>
  <sheetProtection algorithmName="SHA-512" hashValue="AKReSn8aHWF3K1mxiiKkocaCY8/eQZ+lVk78Do+uEoL4GgaNu76K4IyB+8D1vt79OFYLeOnm2weq7YyoWGiu9A==" saltValue="N15cHNWgqX2KsI5Ks2R4Ag==" spinCount="100000" sheet="1" selectLockedCells="1"/>
  <phoneticPr fontId="122" type="noConversion"/>
  <pageMargins left="0.7" right="0.7" top="0.75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4"/>
  <sheetViews>
    <sheetView zoomScale="75" zoomScaleNormal="75" workbookViewId="0">
      <selection activeCell="N32" sqref="N32"/>
    </sheetView>
  </sheetViews>
  <sheetFormatPr defaultRowHeight="14.25" x14ac:dyDescent="0.45"/>
  <cols>
    <col min="1" max="1" width="48.73046875" style="22" customWidth="1"/>
    <col min="2" max="2" width="15.265625" style="22" customWidth="1"/>
    <col min="3" max="5" width="14.59765625" style="22" customWidth="1"/>
    <col min="6" max="6" width="15.1328125" style="22" customWidth="1"/>
    <col min="7" max="7" width="11.3984375" style="22" customWidth="1"/>
    <col min="8" max="8" width="15" style="22" customWidth="1"/>
    <col min="9" max="16384" width="9.06640625" style="22"/>
  </cols>
  <sheetData>
    <row r="1" spans="1:5" ht="20.65" x14ac:dyDescent="0.6">
      <c r="A1" s="19" t="s">
        <v>420</v>
      </c>
      <c r="B1" s="20" t="str">
        <f>MKT!C1</f>
        <v>UK</v>
      </c>
    </row>
    <row r="4" spans="1:5" x14ac:dyDescent="0.45">
      <c r="A4" s="346" t="s">
        <v>192</v>
      </c>
    </row>
    <row r="6" spans="1:5" x14ac:dyDescent="0.45">
      <c r="A6" s="294"/>
      <c r="B6" s="294"/>
      <c r="C6" s="347" t="s">
        <v>54</v>
      </c>
      <c r="D6" s="347" t="s">
        <v>435</v>
      </c>
      <c r="E6" s="347" t="s">
        <v>55</v>
      </c>
    </row>
    <row r="7" spans="1:5" x14ac:dyDescent="0.45">
      <c r="A7" s="30" t="s">
        <v>39</v>
      </c>
      <c r="B7" s="30"/>
      <c r="C7" s="348">
        <v>0.35</v>
      </c>
      <c r="D7" s="348">
        <v>0.25</v>
      </c>
      <c r="E7" s="370">
        <f>D7-C7</f>
        <v>-9.9999999999999978E-2</v>
      </c>
    </row>
    <row r="8" spans="1:5" x14ac:dyDescent="0.45">
      <c r="A8" s="30" t="s">
        <v>257</v>
      </c>
      <c r="B8" s="30"/>
      <c r="C8" s="349">
        <v>0.15</v>
      </c>
      <c r="D8" s="349">
        <v>0.25</v>
      </c>
      <c r="E8" s="370">
        <f t="shared" ref="E8:E10" si="0">D8-C8</f>
        <v>0.1</v>
      </c>
    </row>
    <row r="9" spans="1:5" x14ac:dyDescent="0.45">
      <c r="A9" s="30" t="s">
        <v>874</v>
      </c>
      <c r="B9" s="30"/>
      <c r="C9" s="350">
        <v>6</v>
      </c>
      <c r="D9" s="350">
        <v>8</v>
      </c>
      <c r="E9" s="371">
        <f t="shared" si="0"/>
        <v>2</v>
      </c>
    </row>
    <row r="10" spans="1:5" x14ac:dyDescent="0.45">
      <c r="A10" s="30" t="s">
        <v>258</v>
      </c>
      <c r="B10" s="30"/>
      <c r="C10" s="349">
        <v>0.55000000000000004</v>
      </c>
      <c r="D10" s="349">
        <v>0.6</v>
      </c>
      <c r="E10" s="370">
        <f t="shared" si="0"/>
        <v>4.9999999999999933E-2</v>
      </c>
    </row>
    <row r="11" spans="1:5" x14ac:dyDescent="0.45">
      <c r="A11" s="30" t="s">
        <v>189</v>
      </c>
      <c r="B11" s="30"/>
      <c r="C11" s="383">
        <f>MKT!H23/MKT!N23</f>
        <v>33.235791671165821</v>
      </c>
      <c r="D11" s="351">
        <v>35</v>
      </c>
      <c r="E11" s="372">
        <f>D11-C11</f>
        <v>1.7642083288341794</v>
      </c>
    </row>
    <row r="12" spans="1:5" x14ac:dyDescent="0.45">
      <c r="A12" s="30" t="s">
        <v>875</v>
      </c>
      <c r="C12" s="351">
        <v>299</v>
      </c>
      <c r="D12" s="351">
        <v>420</v>
      </c>
      <c r="E12" s="372">
        <f>D12-C12</f>
        <v>121</v>
      </c>
    </row>
    <row r="13" spans="1:5" x14ac:dyDescent="0.45">
      <c r="B13" s="30"/>
      <c r="E13" s="372"/>
    </row>
    <row r="14" spans="1:5" x14ac:dyDescent="0.45">
      <c r="A14" s="30" t="s">
        <v>876</v>
      </c>
      <c r="B14" s="30"/>
      <c r="C14" s="382">
        <f>'MKT1'!C8</f>
        <v>0.06</v>
      </c>
      <c r="D14" s="348">
        <v>7.0000000000000007E-2</v>
      </c>
      <c r="E14" s="370">
        <f t="shared" ref="E14" si="1">D14-C14</f>
        <v>1.0000000000000009E-2</v>
      </c>
    </row>
    <row r="15" spans="1:5" x14ac:dyDescent="0.45">
      <c r="A15" s="30"/>
      <c r="B15" s="30"/>
      <c r="C15" s="352"/>
      <c r="D15" s="352"/>
      <c r="E15" s="373"/>
    </row>
    <row r="16" spans="1:5" x14ac:dyDescent="0.45">
      <c r="A16" s="30" t="s">
        <v>157</v>
      </c>
      <c r="B16" s="30"/>
      <c r="C16" s="381">
        <f>'MKT1'!M8</f>
        <v>165.36508545107066</v>
      </c>
      <c r="D16" s="50">
        <f>'MKT2'!M8</f>
        <v>181.64478918076119</v>
      </c>
      <c r="E16" s="374">
        <f>D16-C16</f>
        <v>16.279703729690539</v>
      </c>
    </row>
    <row r="17" spans="1:8" x14ac:dyDescent="0.45">
      <c r="A17" s="30"/>
      <c r="B17" s="928" t="s">
        <v>912</v>
      </c>
      <c r="C17" s="381"/>
      <c r="D17" s="50"/>
      <c r="E17" s="374"/>
    </row>
    <row r="18" spans="1:8" x14ac:dyDescent="0.45">
      <c r="A18" s="30" t="s">
        <v>114</v>
      </c>
      <c r="B18" s="7">
        <v>0.3</v>
      </c>
      <c r="C18" s="50">
        <f>B18*$C$16</f>
        <v>49.609525635321198</v>
      </c>
      <c r="D18" s="50">
        <f>B18*$D$16</f>
        <v>54.493436754228355</v>
      </c>
      <c r="E18" s="374">
        <f t="shared" ref="E18:E23" si="2">D18-C18</f>
        <v>4.8839111189071573</v>
      </c>
      <c r="H18" s="116"/>
    </row>
    <row r="19" spans="1:8" x14ac:dyDescent="0.45">
      <c r="A19" s="30" t="s">
        <v>187</v>
      </c>
      <c r="B19" s="7">
        <v>0.1</v>
      </c>
      <c r="C19" s="50">
        <f t="shared" ref="C19:C23" si="3">B19*$C$16</f>
        <v>16.536508545107065</v>
      </c>
      <c r="D19" s="50">
        <f t="shared" ref="D19:D23" si="4">B19*$D$16</f>
        <v>18.164478918076121</v>
      </c>
      <c r="E19" s="374">
        <f t="shared" si="2"/>
        <v>1.627970372969056</v>
      </c>
      <c r="H19" s="116"/>
    </row>
    <row r="20" spans="1:8" x14ac:dyDescent="0.45">
      <c r="A20" s="30" t="s">
        <v>115</v>
      </c>
      <c r="B20" s="7">
        <v>0.15</v>
      </c>
      <c r="C20" s="50">
        <f t="shared" si="3"/>
        <v>24.804762817660599</v>
      </c>
      <c r="D20" s="50">
        <f t="shared" si="4"/>
        <v>27.246718377114178</v>
      </c>
      <c r="E20" s="374">
        <f t="shared" si="2"/>
        <v>2.4419555594535787</v>
      </c>
      <c r="G20" s="116"/>
      <c r="H20" s="369"/>
    </row>
    <row r="21" spans="1:8" x14ac:dyDescent="0.45">
      <c r="A21" s="30" t="s">
        <v>260</v>
      </c>
      <c r="B21" s="7">
        <v>0.2</v>
      </c>
      <c r="C21" s="50">
        <f t="shared" si="3"/>
        <v>33.07301709021413</v>
      </c>
      <c r="D21" s="50">
        <f>B21*$D$16</f>
        <v>36.328957836152242</v>
      </c>
      <c r="E21" s="374">
        <f t="shared" si="2"/>
        <v>3.255940745938112</v>
      </c>
      <c r="G21" s="116"/>
      <c r="H21" s="116"/>
    </row>
    <row r="22" spans="1:8" x14ac:dyDescent="0.45">
      <c r="A22" s="30" t="s">
        <v>188</v>
      </c>
      <c r="B22" s="7">
        <v>0.15</v>
      </c>
      <c r="C22" s="50">
        <f t="shared" si="3"/>
        <v>24.804762817660599</v>
      </c>
      <c r="D22" s="50">
        <f t="shared" si="4"/>
        <v>27.246718377114178</v>
      </c>
      <c r="E22" s="374">
        <f t="shared" si="2"/>
        <v>2.4419555594535787</v>
      </c>
      <c r="G22" s="116"/>
      <c r="H22" s="116"/>
    </row>
    <row r="23" spans="1:8" x14ac:dyDescent="0.45">
      <c r="A23" s="30" t="s">
        <v>116</v>
      </c>
      <c r="B23" s="929">
        <f>1-(B18+B19+B20+B21+B22)</f>
        <v>9.9999999999999978E-2</v>
      </c>
      <c r="C23" s="50">
        <f t="shared" si="3"/>
        <v>16.536508545107061</v>
      </c>
      <c r="D23" s="50">
        <f t="shared" si="4"/>
        <v>18.164478918076114</v>
      </c>
      <c r="E23" s="374">
        <f t="shared" si="2"/>
        <v>1.6279703729690524</v>
      </c>
      <c r="G23" s="116"/>
      <c r="H23" s="116"/>
    </row>
    <row r="24" spans="1:8" x14ac:dyDescent="0.45">
      <c r="A24" s="30" t="s">
        <v>186</v>
      </c>
      <c r="B24" s="930">
        <f>SUM(B18:B23)</f>
        <v>1</v>
      </c>
      <c r="C24" s="50">
        <f>SUM(C18:C23)</f>
        <v>165.36508545107066</v>
      </c>
      <c r="D24" s="50">
        <f>SUM(D18:D23)</f>
        <v>181.64478918076117</v>
      </c>
      <c r="E24" s="374">
        <f>SUM(E18:E23)</f>
        <v>16.279703729690535</v>
      </c>
    </row>
    <row r="25" spans="1:8" x14ac:dyDescent="0.45">
      <c r="A25" s="30"/>
      <c r="B25" s="30"/>
      <c r="C25" s="50"/>
      <c r="D25" s="50"/>
      <c r="E25" s="374"/>
    </row>
    <row r="26" spans="1:8" x14ac:dyDescent="0.45">
      <c r="A26" s="30" t="s">
        <v>886</v>
      </c>
      <c r="B26" s="30"/>
      <c r="C26" s="50">
        <f>C16-C24</f>
        <v>0</v>
      </c>
      <c r="D26" s="50">
        <f>D16-D24</f>
        <v>0</v>
      </c>
      <c r="E26" s="374">
        <f>E16-E24</f>
        <v>0</v>
      </c>
    </row>
    <row r="27" spans="1:8" x14ac:dyDescent="0.45">
      <c r="A27" s="30" t="s">
        <v>918</v>
      </c>
      <c r="B27" s="338">
        <f>CARR2!B21</f>
        <v>0.5</v>
      </c>
      <c r="C27" s="50"/>
      <c r="D27" s="380">
        <f>CARR2!K21</f>
        <v>0.49936207401437871</v>
      </c>
      <c r="E27" s="375">
        <f>D27-C27</f>
        <v>0.49936207401437871</v>
      </c>
      <c r="G27" s="116"/>
      <c r="H27" s="116"/>
    </row>
    <row r="28" spans="1:8" x14ac:dyDescent="0.45">
      <c r="A28" s="30" t="s">
        <v>885</v>
      </c>
      <c r="B28" s="7">
        <v>0.1</v>
      </c>
      <c r="C28" s="50"/>
      <c r="D28" s="49">
        <f>D27*B28</f>
        <v>4.9936207401437872E-2</v>
      </c>
      <c r="E28" s="376">
        <f>D28-C28</f>
        <v>4.9936207401437872E-2</v>
      </c>
      <c r="G28" s="116"/>
      <c r="H28" s="116"/>
    </row>
    <row r="29" spans="1:8" s="355" customFormat="1" x14ac:dyDescent="0.45">
      <c r="A29" s="353" t="s">
        <v>292</v>
      </c>
      <c r="B29" s="354"/>
      <c r="C29" s="377">
        <f>C26+C27-C28</f>
        <v>0</v>
      </c>
      <c r="D29" s="377">
        <f>D26+D27-D28</f>
        <v>0.44942586661294082</v>
      </c>
      <c r="E29" s="377">
        <f>E26+E27-E28</f>
        <v>0.44942586661294082</v>
      </c>
      <c r="G29" s="356"/>
      <c r="H29" s="356"/>
    </row>
    <row r="30" spans="1:8" x14ac:dyDescent="0.45">
      <c r="A30" s="30"/>
      <c r="B30" s="30"/>
      <c r="E30" s="120"/>
    </row>
    <row r="31" spans="1:8" x14ac:dyDescent="0.45">
      <c r="A31" s="31" t="s">
        <v>290</v>
      </c>
      <c r="B31" s="357">
        <v>10</v>
      </c>
      <c r="C31" s="358"/>
      <c r="D31" s="358"/>
      <c r="E31" s="378"/>
    </row>
    <row r="32" spans="1:8" x14ac:dyDescent="0.45">
      <c r="A32" s="359" t="s">
        <v>158</v>
      </c>
      <c r="B32" s="359"/>
      <c r="C32" s="359"/>
      <c r="D32" s="359"/>
      <c r="E32" s="379">
        <f>B31*+E29</f>
        <v>4.4942586661294079</v>
      </c>
    </row>
    <row r="34" spans="1:6" x14ac:dyDescent="0.45">
      <c r="A34" s="30"/>
    </row>
    <row r="35" spans="1:6" x14ac:dyDescent="0.45">
      <c r="A35" s="116"/>
    </row>
    <row r="36" spans="1:6" x14ac:dyDescent="0.45">
      <c r="A36" s="116"/>
    </row>
    <row r="37" spans="1:6" x14ac:dyDescent="0.45">
      <c r="A37" s="116"/>
    </row>
    <row r="38" spans="1:6" x14ac:dyDescent="0.45">
      <c r="A38" s="116"/>
    </row>
    <row r="39" spans="1:6" x14ac:dyDescent="0.45">
      <c r="A39" s="116"/>
    </row>
    <row r="40" spans="1:6" x14ac:dyDescent="0.45">
      <c r="A40" s="116"/>
    </row>
    <row r="43" spans="1:6" ht="15" x14ac:dyDescent="0.55000000000000004">
      <c r="A43" s="360"/>
      <c r="B43" s="361"/>
      <c r="C43" s="361"/>
      <c r="D43" s="361"/>
      <c r="E43" s="361"/>
      <c r="F43" s="361"/>
    </row>
    <row r="44" spans="1:6" ht="15" x14ac:dyDescent="0.55000000000000004">
      <c r="A44" s="361"/>
      <c r="B44" s="362"/>
      <c r="C44" s="362"/>
      <c r="D44" s="362"/>
      <c r="E44" s="362"/>
      <c r="F44" s="362"/>
    </row>
    <row r="45" spans="1:6" ht="15" x14ac:dyDescent="0.55000000000000004">
      <c r="A45" s="361"/>
      <c r="B45" s="363"/>
      <c r="C45" s="363"/>
      <c r="D45" s="363"/>
      <c r="E45" s="363"/>
      <c r="F45" s="363"/>
    </row>
    <row r="46" spans="1:6" ht="15" x14ac:dyDescent="0.55000000000000004">
      <c r="A46" s="364"/>
      <c r="B46" s="365"/>
      <c r="C46" s="365"/>
      <c r="D46" s="365"/>
      <c r="E46" s="365"/>
      <c r="F46" s="365"/>
    </row>
    <row r="47" spans="1:6" ht="15" x14ac:dyDescent="0.55000000000000004">
      <c r="A47" s="364"/>
      <c r="B47" s="365"/>
      <c r="C47" s="365"/>
      <c r="D47" s="365"/>
      <c r="E47" s="365"/>
      <c r="F47" s="365"/>
    </row>
    <row r="48" spans="1:6" ht="15" x14ac:dyDescent="0.55000000000000004">
      <c r="A48" s="364"/>
      <c r="B48" s="365"/>
      <c r="C48" s="365"/>
      <c r="D48" s="365"/>
      <c r="E48" s="365"/>
      <c r="F48" s="365"/>
    </row>
    <row r="49" spans="1:6" ht="15" x14ac:dyDescent="0.55000000000000004">
      <c r="A49" s="366"/>
      <c r="B49" s="367"/>
      <c r="C49" s="367"/>
      <c r="D49" s="367"/>
      <c r="E49" s="367"/>
      <c r="F49" s="367"/>
    </row>
    <row r="50" spans="1:6" ht="15" x14ac:dyDescent="0.55000000000000004">
      <c r="A50" s="366"/>
      <c r="B50" s="367"/>
      <c r="C50" s="367"/>
      <c r="D50" s="367"/>
      <c r="E50" s="367"/>
      <c r="F50" s="367"/>
    </row>
    <row r="51" spans="1:6" ht="15" x14ac:dyDescent="0.55000000000000004">
      <c r="A51" s="364"/>
      <c r="B51" s="365"/>
      <c r="C51" s="365"/>
      <c r="D51" s="365"/>
      <c r="E51" s="365"/>
      <c r="F51" s="365"/>
    </row>
    <row r="52" spans="1:6" ht="15" x14ac:dyDescent="0.55000000000000004">
      <c r="A52" s="366"/>
      <c r="B52" s="367"/>
      <c r="C52" s="367"/>
      <c r="D52" s="367"/>
      <c r="E52" s="367"/>
      <c r="F52" s="367"/>
    </row>
    <row r="53" spans="1:6" ht="15" x14ac:dyDescent="0.55000000000000004">
      <c r="A53" s="364"/>
      <c r="B53" s="368"/>
      <c r="C53" s="368"/>
      <c r="D53" s="368"/>
      <c r="E53" s="368"/>
      <c r="F53" s="368"/>
    </row>
    <row r="54" spans="1:6" ht="15" x14ac:dyDescent="0.55000000000000004">
      <c r="A54" s="366"/>
      <c r="B54" s="368"/>
      <c r="C54" s="368"/>
      <c r="D54" s="368"/>
      <c r="E54" s="368"/>
      <c r="F54" s="368"/>
    </row>
    <row r="55" spans="1:6" ht="15" x14ac:dyDescent="0.55000000000000004">
      <c r="A55" s="364"/>
      <c r="B55" s="365"/>
      <c r="C55" s="365"/>
      <c r="D55" s="365"/>
      <c r="E55" s="365"/>
      <c r="F55" s="365"/>
    </row>
    <row r="56" spans="1:6" ht="15" x14ac:dyDescent="0.55000000000000004">
      <c r="A56" s="364"/>
      <c r="B56" s="365"/>
      <c r="C56" s="365"/>
      <c r="D56" s="365"/>
      <c r="E56" s="365"/>
      <c r="F56" s="365"/>
    </row>
    <row r="57" spans="1:6" ht="15" x14ac:dyDescent="0.55000000000000004">
      <c r="A57" s="364"/>
      <c r="B57" s="365"/>
      <c r="C57" s="365"/>
      <c r="D57" s="365"/>
      <c r="E57" s="365"/>
      <c r="F57" s="365"/>
    </row>
    <row r="58" spans="1:6" ht="15" x14ac:dyDescent="0.55000000000000004">
      <c r="A58" s="364"/>
      <c r="B58" s="365"/>
      <c r="C58" s="365"/>
      <c r="D58" s="365"/>
      <c r="E58" s="365"/>
      <c r="F58" s="365"/>
    </row>
    <row r="59" spans="1:6" ht="15" x14ac:dyDescent="0.55000000000000004">
      <c r="A59" s="364"/>
      <c r="B59" s="365"/>
      <c r="C59" s="365"/>
      <c r="D59" s="365"/>
      <c r="E59" s="365"/>
      <c r="F59" s="365"/>
    </row>
    <row r="60" spans="1:6" ht="15" x14ac:dyDescent="0.55000000000000004">
      <c r="A60" s="364"/>
      <c r="B60" s="365"/>
      <c r="C60" s="365"/>
      <c r="D60" s="365"/>
      <c r="E60" s="365"/>
      <c r="F60" s="365"/>
    </row>
    <row r="61" spans="1:6" ht="15" x14ac:dyDescent="0.55000000000000004">
      <c r="A61" s="364"/>
      <c r="B61" s="365"/>
      <c r="C61" s="365"/>
      <c r="D61" s="365"/>
      <c r="E61" s="365"/>
      <c r="F61" s="365"/>
    </row>
    <row r="62" spans="1:6" ht="15" x14ac:dyDescent="0.55000000000000004">
      <c r="A62" s="364"/>
      <c r="B62" s="365"/>
      <c r="C62" s="365"/>
      <c r="D62" s="365"/>
      <c r="E62" s="365"/>
      <c r="F62" s="365"/>
    </row>
    <row r="63" spans="1:6" ht="15" x14ac:dyDescent="0.55000000000000004">
      <c r="A63" s="364"/>
      <c r="B63" s="365"/>
      <c r="C63" s="365"/>
      <c r="D63" s="365"/>
      <c r="E63" s="365"/>
      <c r="F63" s="365"/>
    </row>
    <row r="64" spans="1:6" ht="15" x14ac:dyDescent="0.55000000000000004">
      <c r="A64" s="364"/>
      <c r="B64" s="365"/>
      <c r="C64" s="365"/>
      <c r="D64" s="365"/>
      <c r="E64" s="365"/>
      <c r="F64" s="365"/>
    </row>
    <row r="65" spans="1:6" ht="15" x14ac:dyDescent="0.55000000000000004">
      <c r="A65" s="364"/>
      <c r="B65" s="365"/>
      <c r="C65" s="365"/>
      <c r="D65" s="365"/>
      <c r="E65" s="365"/>
      <c r="F65" s="365"/>
    </row>
    <row r="66" spans="1:6" ht="15" x14ac:dyDescent="0.55000000000000004">
      <c r="A66" s="364"/>
      <c r="B66" s="365"/>
      <c r="C66" s="365"/>
      <c r="D66" s="365"/>
      <c r="E66" s="365"/>
      <c r="F66" s="365"/>
    </row>
    <row r="67" spans="1:6" ht="15" x14ac:dyDescent="0.55000000000000004">
      <c r="A67" s="364"/>
      <c r="B67" s="368"/>
      <c r="C67" s="368"/>
      <c r="D67" s="368"/>
      <c r="E67" s="368"/>
      <c r="F67" s="368"/>
    </row>
    <row r="68" spans="1:6" ht="15" x14ac:dyDescent="0.55000000000000004">
      <c r="A68" s="366"/>
      <c r="B68" s="367"/>
      <c r="C68" s="367"/>
      <c r="D68" s="367"/>
      <c r="E68" s="367"/>
      <c r="F68" s="367"/>
    </row>
    <row r="69" spans="1:6" ht="15" x14ac:dyDescent="0.55000000000000004">
      <c r="A69" s="366"/>
      <c r="B69" s="367"/>
      <c r="C69" s="367"/>
      <c r="D69" s="367"/>
      <c r="E69" s="367"/>
      <c r="F69" s="367"/>
    </row>
    <row r="70" spans="1:6" ht="15" x14ac:dyDescent="0.55000000000000004">
      <c r="A70" s="364"/>
      <c r="B70" s="365"/>
      <c r="C70" s="365"/>
      <c r="D70" s="365"/>
      <c r="E70" s="365"/>
      <c r="F70" s="365"/>
    </row>
    <row r="71" spans="1:6" ht="15" x14ac:dyDescent="0.55000000000000004">
      <c r="A71" s="366"/>
      <c r="B71" s="367"/>
      <c r="C71" s="367"/>
      <c r="D71" s="367"/>
      <c r="E71" s="367"/>
      <c r="F71" s="367"/>
    </row>
    <row r="72" spans="1:6" ht="15" x14ac:dyDescent="0.55000000000000004">
      <c r="A72" s="366"/>
      <c r="B72" s="367"/>
      <c r="C72" s="367"/>
      <c r="D72" s="367"/>
      <c r="E72" s="367"/>
      <c r="F72" s="367"/>
    </row>
    <row r="73" spans="1:6" ht="15" x14ac:dyDescent="0.55000000000000004">
      <c r="A73" s="364"/>
      <c r="B73" s="365"/>
      <c r="C73" s="365"/>
      <c r="D73" s="365"/>
      <c r="E73" s="365"/>
      <c r="F73" s="365"/>
    </row>
    <row r="74" spans="1:6" ht="15" x14ac:dyDescent="0.55000000000000004">
      <c r="A74" s="366"/>
      <c r="B74" s="367"/>
      <c r="C74" s="367"/>
      <c r="D74" s="367"/>
      <c r="E74" s="367"/>
      <c r="F74" s="367"/>
    </row>
  </sheetData>
  <sheetProtection algorithmName="SHA-512" hashValue="m+69sF3n2c/ovgbri+IrrC+bFQTx1BEtcjtQ1gllBRIi/pTc/2IIgtt/vcNP5D0kzXAtauvSVFPfnib1i38g+Q==" saltValue="tr22iY+sg6umzyhAYZqQwA==" spinCount="100000" sheet="1" objects="1" scenarios="1" selectLockedCells="1"/>
  <conditionalFormatting sqref="A43">
    <cfRule type="duplicateValues" dxfId="3" priority="1"/>
  </conditionalFormatting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48"/>
  <sheetViews>
    <sheetView tabSelected="1" topLeftCell="A6" zoomScale="75" zoomScaleNormal="75" workbookViewId="0">
      <selection activeCell="O15" sqref="O15"/>
    </sheetView>
  </sheetViews>
  <sheetFormatPr defaultRowHeight="14.25" x14ac:dyDescent="0.45"/>
  <cols>
    <col min="1" max="1" width="66.59765625" style="22" customWidth="1"/>
    <col min="2" max="8" width="9.06640625" style="22"/>
    <col min="9" max="9" width="8.73046875" style="313" bestFit="1" customWidth="1"/>
    <col min="10" max="16384" width="9.06640625" style="22"/>
  </cols>
  <sheetData>
    <row r="1" spans="1:15" ht="20.65" x14ac:dyDescent="0.6">
      <c r="A1" s="19" t="s">
        <v>251</v>
      </c>
      <c r="B1" s="20" t="str">
        <f>MKT!C1</f>
        <v>UK</v>
      </c>
      <c r="C1" s="249"/>
    </row>
    <row r="2" spans="1:15" ht="17.649999999999999" x14ac:dyDescent="0.45">
      <c r="A2" s="314"/>
    </row>
    <row r="4" spans="1:15" ht="26.25" x14ac:dyDescent="0.45">
      <c r="A4" s="25" t="s">
        <v>0</v>
      </c>
      <c r="B4" s="25" t="s">
        <v>196</v>
      </c>
      <c r="C4" s="25" t="s">
        <v>8</v>
      </c>
      <c r="D4" s="25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138</v>
      </c>
      <c r="J4" s="25" t="s">
        <v>139</v>
      </c>
      <c r="K4" s="25" t="s">
        <v>140</v>
      </c>
      <c r="L4" s="25" t="s">
        <v>141</v>
      </c>
      <c r="M4" s="25" t="s">
        <v>142</v>
      </c>
    </row>
    <row r="5" spans="1:15" x14ac:dyDescent="0.45">
      <c r="A5" s="29"/>
      <c r="B5" s="28"/>
      <c r="C5" s="29"/>
      <c r="D5" s="28">
        <f>B5+1</f>
        <v>1</v>
      </c>
      <c r="E5" s="28">
        <f>D5+1</f>
        <v>2</v>
      </c>
      <c r="F5" s="28">
        <f t="shared" ref="F5:H5" si="0">E5+1</f>
        <v>3</v>
      </c>
      <c r="G5" s="28">
        <f t="shared" si="0"/>
        <v>4</v>
      </c>
      <c r="H5" s="28">
        <f t="shared" si="0"/>
        <v>5</v>
      </c>
      <c r="I5" s="28">
        <f t="shared" ref="I5" si="1">H5+1</f>
        <v>6</v>
      </c>
      <c r="J5" s="28">
        <f t="shared" ref="J5" si="2">I5+1</f>
        <v>7</v>
      </c>
      <c r="K5" s="28">
        <f t="shared" ref="K5" si="3">J5+1</f>
        <v>8</v>
      </c>
      <c r="L5" s="28">
        <f t="shared" ref="L5" si="4">K5+1</f>
        <v>9</v>
      </c>
      <c r="M5" s="28">
        <f t="shared" ref="M5" si="5">L5+1</f>
        <v>10</v>
      </c>
    </row>
    <row r="6" spans="1:15" x14ac:dyDescent="0.45">
      <c r="A6" s="30" t="s">
        <v>1</v>
      </c>
      <c r="B6" s="44">
        <f>'MKT1'!B6</f>
        <v>66.780531900000014</v>
      </c>
      <c r="C6" s="47">
        <f>'MKT1'!C6</f>
        <v>0.01</v>
      </c>
      <c r="D6" s="44">
        <f>'MKT1'!D6</f>
        <v>67.44833721900001</v>
      </c>
      <c r="E6" s="44">
        <f>'MKT1'!E6</f>
        <v>68.12282059119002</v>
      </c>
      <c r="F6" s="44">
        <f>'MKT1'!F6</f>
        <v>68.804048797101913</v>
      </c>
      <c r="G6" s="44">
        <f>'MKT1'!G6</f>
        <v>69.492089285072936</v>
      </c>
      <c r="H6" s="44">
        <f>'MKT1'!H6</f>
        <v>70.187010177923653</v>
      </c>
      <c r="I6" s="44">
        <f>'MKT1'!I6</f>
        <v>70.888880279702903</v>
      </c>
      <c r="J6" s="44">
        <f>'MKT1'!J6</f>
        <v>71.597769082499923</v>
      </c>
      <c r="K6" s="44">
        <f>'MKT1'!K6</f>
        <v>72.313746773324937</v>
      </c>
      <c r="L6" s="44">
        <f>'MKT1'!L6</f>
        <v>73.036884241058189</v>
      </c>
      <c r="M6" s="44">
        <f>'MKT1'!M6</f>
        <v>73.767253083468773</v>
      </c>
    </row>
    <row r="7" spans="1:15" x14ac:dyDescent="0.45">
      <c r="A7" s="30" t="s">
        <v>156</v>
      </c>
      <c r="B7" s="44">
        <f>'MKT1'!B7</f>
        <v>2.1603999999999997</v>
      </c>
      <c r="C7" s="47">
        <f>'MKT1'!C7</f>
        <v>1.9E-2</v>
      </c>
      <c r="D7" s="44">
        <f>'MKT1'!D7</f>
        <v>2.2014475999999994</v>
      </c>
      <c r="E7" s="44">
        <f>'MKT1'!E7</f>
        <v>2.2432751043999994</v>
      </c>
      <c r="F7" s="44">
        <f>'MKT1'!F7</f>
        <v>2.2858973313835995</v>
      </c>
      <c r="G7" s="44">
        <f>'MKT1'!G7</f>
        <v>2.3293293806798876</v>
      </c>
      <c r="H7" s="44">
        <f>'MKT1'!H7</f>
        <v>2.3735866389128053</v>
      </c>
      <c r="I7" s="44">
        <f>'MKT1'!I7</f>
        <v>2.4186847850521489</v>
      </c>
      <c r="J7" s="44">
        <f>'MKT1'!J7</f>
        <v>2.4646397959681394</v>
      </c>
      <c r="K7" s="44">
        <f>'MKT1'!K7</f>
        <v>2.5114679520915337</v>
      </c>
      <c r="L7" s="44">
        <f>'MKT1'!L7</f>
        <v>2.5591858431812726</v>
      </c>
      <c r="M7" s="44">
        <f>'MKT1'!M7</f>
        <v>2.6078103742017169</v>
      </c>
    </row>
    <row r="8" spans="1:15" x14ac:dyDescent="0.45">
      <c r="A8" s="30" t="s">
        <v>148</v>
      </c>
      <c r="B8" s="336">
        <f>'MKT1'!B8</f>
        <v>92.338999999999999</v>
      </c>
      <c r="C8" s="48">
        <f>ETAIL!D14</f>
        <v>7.0000000000000007E-2</v>
      </c>
      <c r="D8" s="50">
        <f t="shared" ref="D8:M8" si="6">$B8*(1+$C8)^(D$5-$B$5)</f>
        <v>98.802730000000011</v>
      </c>
      <c r="E8" s="50">
        <f t="shared" si="6"/>
        <v>105.7189211</v>
      </c>
      <c r="F8" s="50">
        <f t="shared" si="6"/>
        <v>113.119245577</v>
      </c>
      <c r="G8" s="50">
        <f t="shared" si="6"/>
        <v>121.03759276739</v>
      </c>
      <c r="H8" s="50">
        <f t="shared" si="6"/>
        <v>129.51022426110731</v>
      </c>
      <c r="I8" s="50">
        <f t="shared" si="6"/>
        <v>138.57593995938481</v>
      </c>
      <c r="J8" s="50">
        <f t="shared" si="6"/>
        <v>148.27625575654176</v>
      </c>
      <c r="K8" s="50">
        <f t="shared" si="6"/>
        <v>158.65559365949969</v>
      </c>
      <c r="L8" s="50">
        <f t="shared" si="6"/>
        <v>169.76148521566466</v>
      </c>
      <c r="M8" s="50">
        <f t="shared" si="6"/>
        <v>181.64478918076119</v>
      </c>
    </row>
    <row r="9" spans="1:15" x14ac:dyDescent="0.45">
      <c r="A9" s="313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</row>
    <row r="10" spans="1:15" x14ac:dyDescent="0.45">
      <c r="A10" s="30" t="s">
        <v>61</v>
      </c>
      <c r="B10" s="44">
        <f>'MKT1'!B10</f>
        <v>3.9690000000000003</v>
      </c>
      <c r="C10" s="338"/>
      <c r="D10" s="44">
        <f>D11+D12</f>
        <v>4.1861043000000002</v>
      </c>
      <c r="E10" s="44">
        <f t="shared" ref="E10:M10" si="7">E11+E12</f>
        <v>4.4172521127</v>
      </c>
      <c r="F10" s="44">
        <f t="shared" si="7"/>
        <v>4.6634045620112996</v>
      </c>
      <c r="G10" s="44">
        <f t="shared" si="7"/>
        <v>4.9255896340014145</v>
      </c>
      <c r="H10" s="44">
        <f t="shared" si="7"/>
        <v>5.2049068493311745</v>
      </c>
      <c r="I10" s="44">
        <f t="shared" si="7"/>
        <v>5.5025322626120605</v>
      </c>
      <c r="J10" s="44">
        <f t="shared" si="7"/>
        <v>5.8197238115653365</v>
      </c>
      <c r="K10" s="44">
        <f t="shared" si="7"/>
        <v>6.1578270404661781</v>
      </c>
      <c r="L10" s="44">
        <f t="shared" si="7"/>
        <v>6.5182812240698143</v>
      </c>
      <c r="M10" s="44">
        <f t="shared" si="7"/>
        <v>6.9026259200503528</v>
      </c>
    </row>
    <row r="11" spans="1:15" x14ac:dyDescent="0.45">
      <c r="A11" s="30" t="s">
        <v>62</v>
      </c>
      <c r="B11" s="44">
        <f>'MKT1'!B11</f>
        <v>1.1907000000000003</v>
      </c>
      <c r="C11" s="47">
        <f>C7</f>
        <v>1.9E-2</v>
      </c>
      <c r="D11" s="44">
        <f>$B11*(1+$C7)^(D$5-$B$5)</f>
        <v>1.2133233000000001</v>
      </c>
      <c r="E11" s="44">
        <f t="shared" ref="E11:M11" si="8">$B11*(1+$C7)^(E$5-$B$5)</f>
        <v>1.2363764427000001</v>
      </c>
      <c r="F11" s="44">
        <f t="shared" si="8"/>
        <v>1.2598675951113001</v>
      </c>
      <c r="G11" s="44">
        <f t="shared" si="8"/>
        <v>1.2838050794184148</v>
      </c>
      <c r="H11" s="44">
        <f t="shared" si="8"/>
        <v>1.3081973759273644</v>
      </c>
      <c r="I11" s="44">
        <f t="shared" si="8"/>
        <v>1.3330531260699845</v>
      </c>
      <c r="J11" s="44">
        <f t="shared" si="8"/>
        <v>1.3583811354653141</v>
      </c>
      <c r="K11" s="44">
        <f t="shared" si="8"/>
        <v>1.384190377039155</v>
      </c>
      <c r="L11" s="44">
        <f t="shared" si="8"/>
        <v>1.410489994202899</v>
      </c>
      <c r="M11" s="44">
        <f t="shared" si="8"/>
        <v>1.4372893040927539</v>
      </c>
      <c r="O11" s="22" t="s">
        <v>291</v>
      </c>
    </row>
    <row r="12" spans="1:15" x14ac:dyDescent="0.45">
      <c r="A12" s="30" t="s">
        <v>63</v>
      </c>
      <c r="B12" s="44">
        <f>'MKT1'!B12</f>
        <v>2.7782999999999998</v>
      </c>
      <c r="C12" s="48">
        <f>C8</f>
        <v>7.0000000000000007E-2</v>
      </c>
      <c r="D12" s="44">
        <f>$B12*(1+$C12)^(D$5-$B$5)</f>
        <v>2.9727809999999999</v>
      </c>
      <c r="E12" s="44">
        <f>$B12*(1+$C12)^(E$5-$B$5)</f>
        <v>3.1808756699999998</v>
      </c>
      <c r="F12" s="44">
        <f>$B12*(1+$C12)^(F$5-$B$5)</f>
        <v>3.4035369669</v>
      </c>
      <c r="G12" s="44">
        <f>$B12*(1+$C12)^(G$5-$B$5)</f>
        <v>3.6417845545829999</v>
      </c>
      <c r="H12" s="44">
        <f>$B12*(1+$C12)^(H$5-$B$5)</f>
        <v>3.8967094734038104</v>
      </c>
      <c r="I12" s="44">
        <f t="shared" ref="I12:M12" si="9">$B12*(1+$C12)^(I$5-$B$5)</f>
        <v>4.1694791365420762</v>
      </c>
      <c r="J12" s="44">
        <f t="shared" si="9"/>
        <v>4.4613426761000223</v>
      </c>
      <c r="K12" s="44">
        <f t="shared" si="9"/>
        <v>4.7736366634270233</v>
      </c>
      <c r="L12" s="44">
        <f t="shared" si="9"/>
        <v>5.1077912298669155</v>
      </c>
      <c r="M12" s="44">
        <f t="shared" si="9"/>
        <v>5.4653366159575993</v>
      </c>
      <c r="O12" s="22" t="s">
        <v>256</v>
      </c>
    </row>
    <row r="13" spans="1:15" x14ac:dyDescent="0.45">
      <c r="A13" s="30" t="s">
        <v>245</v>
      </c>
      <c r="B13" s="339">
        <f>'MKT1'!B13</f>
        <v>0.05</v>
      </c>
      <c r="C13" s="47"/>
      <c r="D13" s="7">
        <v>0.1</v>
      </c>
      <c r="E13" s="7">
        <v>0.2</v>
      </c>
      <c r="F13" s="7">
        <v>0.3</v>
      </c>
      <c r="G13" s="7">
        <v>0.4</v>
      </c>
      <c r="H13" s="7">
        <v>0.4</v>
      </c>
      <c r="I13" s="7">
        <v>0.4</v>
      </c>
      <c r="J13" s="7">
        <v>0.4</v>
      </c>
      <c r="K13" s="7">
        <v>0.4</v>
      </c>
      <c r="L13" s="7">
        <v>0.4</v>
      </c>
      <c r="M13" s="338">
        <f>CON!$K$29</f>
        <v>0.4</v>
      </c>
    </row>
    <row r="14" spans="1:15" x14ac:dyDescent="0.45">
      <c r="A14" s="30" t="s">
        <v>246</v>
      </c>
      <c r="B14" s="44">
        <f>B12*B13</f>
        <v>0.13891499999999998</v>
      </c>
      <c r="C14" s="47"/>
      <c r="D14" s="44">
        <f>D12*D13</f>
        <v>0.29727809999999999</v>
      </c>
      <c r="E14" s="44">
        <f t="shared" ref="E14:H14" si="10">E12*E13</f>
        <v>0.63617513400000003</v>
      </c>
      <c r="F14" s="44">
        <f t="shared" si="10"/>
        <v>1.0210610900699999</v>
      </c>
      <c r="G14" s="44">
        <f t="shared" si="10"/>
        <v>1.4567138218332001</v>
      </c>
      <c r="H14" s="44">
        <f t="shared" si="10"/>
        <v>1.5586837893615242</v>
      </c>
      <c r="I14" s="44">
        <f t="shared" ref="I14:M14" si="11">I12*I13</f>
        <v>1.6677916546168305</v>
      </c>
      <c r="J14" s="44">
        <f t="shared" si="11"/>
        <v>1.784537070440009</v>
      </c>
      <c r="K14" s="44">
        <f t="shared" si="11"/>
        <v>1.9094546653708093</v>
      </c>
      <c r="L14" s="44">
        <f t="shared" si="11"/>
        <v>2.0431164919467664</v>
      </c>
      <c r="M14" s="44">
        <f t="shared" si="11"/>
        <v>2.18613464638304</v>
      </c>
    </row>
    <row r="15" spans="1:15" x14ac:dyDescent="0.45">
      <c r="A15" s="30" t="s">
        <v>64</v>
      </c>
      <c r="B15" s="44">
        <f>B12-B14</f>
        <v>2.6393849999999999</v>
      </c>
      <c r="C15" s="47"/>
      <c r="D15" s="44">
        <f t="shared" ref="D15:M15" si="12">D12-D14</f>
        <v>2.6755028999999997</v>
      </c>
      <c r="E15" s="44">
        <f t="shared" si="12"/>
        <v>2.5447005359999997</v>
      </c>
      <c r="F15" s="44">
        <f t="shared" si="12"/>
        <v>2.3824758768300001</v>
      </c>
      <c r="G15" s="44">
        <f t="shared" si="12"/>
        <v>2.1850707327498</v>
      </c>
      <c r="H15" s="44">
        <f t="shared" si="12"/>
        <v>2.3380256840422859</v>
      </c>
      <c r="I15" s="44">
        <f t="shared" si="12"/>
        <v>2.5016874819252459</v>
      </c>
      <c r="J15" s="44">
        <f t="shared" si="12"/>
        <v>2.6768056056600136</v>
      </c>
      <c r="K15" s="44">
        <f t="shared" si="12"/>
        <v>2.864181998056214</v>
      </c>
      <c r="L15" s="44">
        <f t="shared" si="12"/>
        <v>3.0646747379201491</v>
      </c>
      <c r="M15" s="44">
        <f t="shared" si="12"/>
        <v>3.2792019695745593</v>
      </c>
    </row>
    <row r="16" spans="1:15" x14ac:dyDescent="0.45">
      <c r="A16" s="32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O16" s="35"/>
    </row>
    <row r="17" spans="1:15" x14ac:dyDescent="0.45">
      <c r="A17" s="30" t="s">
        <v>149</v>
      </c>
      <c r="B17" s="343">
        <f>'MKT1'!B17</f>
        <v>3.7710000000000012</v>
      </c>
      <c r="C17" s="316"/>
      <c r="D17" s="51">
        <f t="shared" ref="D17:M17" si="13">D23/D10</f>
        <v>3.8382688062956292</v>
      </c>
      <c r="E17" s="51">
        <f t="shared" si="13"/>
        <v>3.8943844060171173</v>
      </c>
      <c r="F17" s="51">
        <f t="shared" si="13"/>
        <v>3.9382799649764371</v>
      </c>
      <c r="G17" s="51">
        <f t="shared" si="13"/>
        <v>3.9688568732971383</v>
      </c>
      <c r="H17" s="51">
        <f t="shared" si="13"/>
        <v>4.0218306291440005</v>
      </c>
      <c r="I17" s="51">
        <f t="shared" si="13"/>
        <v>4.0763727189703092</v>
      </c>
      <c r="J17" s="51">
        <f t="shared" si="13"/>
        <v>4.1325677742994067</v>
      </c>
      <c r="K17" s="51">
        <f t="shared" si="13"/>
        <v>4.1905016839080016</v>
      </c>
      <c r="L17" s="51">
        <f t="shared" si="13"/>
        <v>4.2502615476882735</v>
      </c>
      <c r="M17" s="51">
        <f t="shared" si="13"/>
        <v>4.311935641127052</v>
      </c>
    </row>
    <row r="18" spans="1:15" x14ac:dyDescent="0.45">
      <c r="A18" s="30" t="s">
        <v>150</v>
      </c>
      <c r="B18" s="343">
        <f>'MKT1'!B18</f>
        <v>5.36</v>
      </c>
      <c r="C18" s="37">
        <v>0.02</v>
      </c>
      <c r="D18" s="44">
        <f>$B18*(1+$C18)^(D$5-$B$5)</f>
        <v>5.4672000000000001</v>
      </c>
      <c r="E18" s="44">
        <f>$B18*(1+$C18)^(E$5-$B$5)</f>
        <v>5.5765440000000002</v>
      </c>
      <c r="F18" s="44">
        <f>$B18*(1+$C18)^(F$5-$B$5)</f>
        <v>5.6880748800000003</v>
      </c>
      <c r="G18" s="44">
        <f>$B18*(1+$C18)^(G$5-$B$5)</f>
        <v>5.8018363775999999</v>
      </c>
      <c r="H18" s="44">
        <f>$B18*(1+$C18)^(H$5-$B$5)</f>
        <v>5.9178731051520002</v>
      </c>
      <c r="I18" s="44">
        <f t="shared" ref="I18:M18" si="14">$B18*(1+$C18)^(I$5-$B$5)</f>
        <v>6.0362305672550409</v>
      </c>
      <c r="J18" s="44">
        <f t="shared" si="14"/>
        <v>6.15695517860014</v>
      </c>
      <c r="K18" s="44">
        <f t="shared" si="14"/>
        <v>6.2800942821721435</v>
      </c>
      <c r="L18" s="44">
        <f t="shared" si="14"/>
        <v>6.4056961678155862</v>
      </c>
      <c r="M18" s="44">
        <f t="shared" si="14"/>
        <v>6.5338100911718984</v>
      </c>
      <c r="O18" s="38" t="s">
        <v>846</v>
      </c>
    </row>
    <row r="19" spans="1:15" x14ac:dyDescent="0.45">
      <c r="A19" s="30" t="s">
        <v>134</v>
      </c>
      <c r="B19" s="343">
        <f>'MKT1'!B19</f>
        <v>3.0900000000000007</v>
      </c>
      <c r="C19" s="316"/>
      <c r="D19" s="51">
        <f t="shared" ref="D19:M19" si="15">D25/D12</f>
        <v>3.1734300000000002</v>
      </c>
      <c r="E19" s="51">
        <f t="shared" si="15"/>
        <v>3.2405448000000003</v>
      </c>
      <c r="F19" s="51">
        <f t="shared" si="15"/>
        <v>3.2905685010000005</v>
      </c>
      <c r="G19" s="51">
        <f t="shared" si="15"/>
        <v>3.3226933337400011</v>
      </c>
      <c r="H19" s="51">
        <f t="shared" si="15"/>
        <v>3.3852941337522005</v>
      </c>
      <c r="I19" s="51">
        <f t="shared" si="15"/>
        <v>3.4497729577647669</v>
      </c>
      <c r="J19" s="51">
        <f t="shared" si="15"/>
        <v>3.5161861464977098</v>
      </c>
      <c r="K19" s="51">
        <f t="shared" si="15"/>
        <v>3.5845917308926407</v>
      </c>
      <c r="L19" s="51">
        <f t="shared" si="15"/>
        <v>3.6550494828194204</v>
      </c>
      <c r="M19" s="51">
        <f t="shared" si="15"/>
        <v>3.7276209673040026</v>
      </c>
      <c r="O19" s="35"/>
    </row>
    <row r="20" spans="1:15" x14ac:dyDescent="0.45">
      <c r="A20" s="30" t="s">
        <v>243</v>
      </c>
      <c r="B20" s="343">
        <f>'MKT1'!B20</f>
        <v>3.0900000000000007</v>
      </c>
      <c r="C20" s="37">
        <v>0</v>
      </c>
      <c r="D20" s="51">
        <f t="shared" ref="D20:M21" si="16">$B20*(1+$C20)^(D$5-$B$5)</f>
        <v>3.0900000000000007</v>
      </c>
      <c r="E20" s="51">
        <f t="shared" si="16"/>
        <v>3.0900000000000007</v>
      </c>
      <c r="F20" s="51">
        <f t="shared" si="16"/>
        <v>3.0900000000000007</v>
      </c>
      <c r="G20" s="51">
        <f t="shared" si="16"/>
        <v>3.0900000000000007</v>
      </c>
      <c r="H20" s="51">
        <f t="shared" si="16"/>
        <v>3.0900000000000007</v>
      </c>
      <c r="I20" s="51">
        <f t="shared" si="16"/>
        <v>3.0900000000000007</v>
      </c>
      <c r="J20" s="51">
        <f t="shared" si="16"/>
        <v>3.0900000000000007</v>
      </c>
      <c r="K20" s="51">
        <f t="shared" si="16"/>
        <v>3.0900000000000007</v>
      </c>
      <c r="L20" s="51">
        <f t="shared" si="16"/>
        <v>3.0900000000000007</v>
      </c>
      <c r="M20" s="51">
        <f t="shared" si="16"/>
        <v>3.0900000000000007</v>
      </c>
      <c r="O20" s="38" t="s">
        <v>846</v>
      </c>
    </row>
    <row r="21" spans="1:15" x14ac:dyDescent="0.45">
      <c r="A21" s="30" t="s">
        <v>151</v>
      </c>
      <c r="B21" s="343">
        <f>'MKT1'!B21</f>
        <v>3.0900000000000007</v>
      </c>
      <c r="C21" s="37">
        <v>0.03</v>
      </c>
      <c r="D21" s="51">
        <f t="shared" si="16"/>
        <v>3.182700000000001</v>
      </c>
      <c r="E21" s="51">
        <f t="shared" si="16"/>
        <v>3.2781810000000005</v>
      </c>
      <c r="F21" s="51">
        <f t="shared" si="16"/>
        <v>3.3765264300000006</v>
      </c>
      <c r="G21" s="51">
        <f t="shared" si="16"/>
        <v>3.4778222229000004</v>
      </c>
      <c r="H21" s="51">
        <f t="shared" si="16"/>
        <v>3.5821568895870004</v>
      </c>
      <c r="I21" s="51">
        <f t="shared" si="16"/>
        <v>3.6896215962746108</v>
      </c>
      <c r="J21" s="51">
        <f t="shared" si="16"/>
        <v>3.8003102441628491</v>
      </c>
      <c r="K21" s="51">
        <f t="shared" si="16"/>
        <v>3.914319551487734</v>
      </c>
      <c r="L21" s="51">
        <f t="shared" si="16"/>
        <v>4.0317491380323665</v>
      </c>
      <c r="M21" s="51">
        <f t="shared" si="16"/>
        <v>4.1527016121733373</v>
      </c>
      <c r="O21" s="38" t="s">
        <v>846</v>
      </c>
    </row>
    <row r="22" spans="1:15" x14ac:dyDescent="0.45">
      <c r="A22" s="32"/>
      <c r="B22" s="337"/>
      <c r="C22" s="315"/>
      <c r="D22" s="337"/>
      <c r="E22" s="337"/>
      <c r="F22" s="337"/>
      <c r="G22" s="337"/>
      <c r="H22" s="337"/>
      <c r="I22" s="337"/>
      <c r="J22" s="337"/>
      <c r="K22" s="337"/>
      <c r="L22" s="337"/>
      <c r="M22" s="337"/>
    </row>
    <row r="23" spans="1:15" x14ac:dyDescent="0.45">
      <c r="A23" s="30" t="s">
        <v>152</v>
      </c>
      <c r="B23" s="51">
        <f>'MKT1'!B23</f>
        <v>14.967098999999999</v>
      </c>
      <c r="C23" s="316"/>
      <c r="D23" s="51">
        <f>D24+D25</f>
        <v>16.067393554590002</v>
      </c>
      <c r="E23" s="51">
        <f t="shared" ref="E23:H23" si="17">E24+E25</f>
        <v>17.202477745145046</v>
      </c>
      <c r="F23" s="51">
        <f t="shared" si="17"/>
        <v>18.365792755148817</v>
      </c>
      <c r="G23" s="51">
        <f t="shared" si="17"/>
        <v>19.54896027394765</v>
      </c>
      <c r="H23" s="51">
        <f t="shared" si="17"/>
        <v>20.933253788481515</v>
      </c>
      <c r="I23" s="51">
        <f t="shared" ref="I23:M23" si="18">I24+I25</f>
        <v>22.430372400565773</v>
      </c>
      <c r="J23" s="51">
        <f t="shared" si="18"/>
        <v>24.050403078997824</v>
      </c>
      <c r="K23" s="51">
        <f t="shared" si="18"/>
        <v>25.804384582287746</v>
      </c>
      <c r="L23" s="51">
        <f t="shared" si="18"/>
        <v>27.70440004368238</v>
      </c>
      <c r="M23" s="51">
        <f t="shared" si="18"/>
        <v>29.763678722032523</v>
      </c>
    </row>
    <row r="24" spans="1:15" x14ac:dyDescent="0.45">
      <c r="A24" s="30" t="s">
        <v>153</v>
      </c>
      <c r="B24" s="51">
        <f>'MKT1'!B24</f>
        <v>6.3821520000000023</v>
      </c>
      <c r="C24" s="316"/>
      <c r="D24" s="51">
        <f t="shared" ref="D24:M24" si="19">D18*D11</f>
        <v>6.6334811457600003</v>
      </c>
      <c r="E24" s="51">
        <f t="shared" si="19"/>
        <v>6.8947076332800297</v>
      </c>
      <c r="F24" s="51">
        <f t="shared" si="19"/>
        <v>7.1662212198785973</v>
      </c>
      <c r="G24" s="51">
        <f t="shared" si="19"/>
        <v>7.448427011517416</v>
      </c>
      <c r="H24" s="51">
        <f t="shared" si="19"/>
        <v>7.7417460672309701</v>
      </c>
      <c r="I24" s="51">
        <f t="shared" si="19"/>
        <v>8.0466160273585281</v>
      </c>
      <c r="J24" s="51">
        <f t="shared" si="19"/>
        <v>8.3634917665159048</v>
      </c>
      <c r="K24" s="44">
        <f t="shared" si="19"/>
        <v>8.6928460722813004</v>
      </c>
      <c r="L24" s="44">
        <f t="shared" si="19"/>
        <v>9.0351703506077392</v>
      </c>
      <c r="M24" s="44">
        <f t="shared" si="19"/>
        <v>9.3909753590146714</v>
      </c>
    </row>
    <row r="25" spans="1:15" x14ac:dyDescent="0.45">
      <c r="A25" s="30" t="s">
        <v>154</v>
      </c>
      <c r="B25" s="51">
        <f>'MKT1'!B25</f>
        <v>8.5849470000000014</v>
      </c>
      <c r="C25" s="316"/>
      <c r="D25" s="51">
        <f>D26+D27</f>
        <v>9.4339124088300004</v>
      </c>
      <c r="E25" s="51">
        <f t="shared" ref="E25:H25" si="20">E26+E27</f>
        <v>10.307770111865016</v>
      </c>
      <c r="F25" s="51">
        <f t="shared" si="20"/>
        <v>11.199571535270222</v>
      </c>
      <c r="G25" s="51">
        <f t="shared" si="20"/>
        <v>12.100533262430233</v>
      </c>
      <c r="H25" s="51">
        <f t="shared" si="20"/>
        <v>13.191507721250545</v>
      </c>
      <c r="I25" s="51">
        <f t="shared" ref="I25:M25" si="21">I26+I27</f>
        <v>14.383756373207245</v>
      </c>
      <c r="J25" s="51">
        <f t="shared" si="21"/>
        <v>15.686911312481918</v>
      </c>
      <c r="K25" s="51">
        <f t="shared" si="21"/>
        <v>17.111538510006444</v>
      </c>
      <c r="L25" s="51">
        <f t="shared" si="21"/>
        <v>18.669229693074641</v>
      </c>
      <c r="M25" s="51">
        <f t="shared" si="21"/>
        <v>20.372703363017852</v>
      </c>
    </row>
    <row r="26" spans="1:15" x14ac:dyDescent="0.45">
      <c r="A26" s="30" t="s">
        <v>244</v>
      </c>
      <c r="B26" s="51">
        <f>B14*B20</f>
        <v>0.42924735000000003</v>
      </c>
      <c r="C26" s="316"/>
      <c r="D26" s="51">
        <f t="shared" ref="D26:M26" si="22">D14*D20</f>
        <v>0.91858932900000023</v>
      </c>
      <c r="E26" s="51">
        <f t="shared" si="22"/>
        <v>1.9657811640600005</v>
      </c>
      <c r="F26" s="51">
        <f t="shared" si="22"/>
        <v>3.1550787683163004</v>
      </c>
      <c r="G26" s="51">
        <f t="shared" si="22"/>
        <v>4.5012457094645892</v>
      </c>
      <c r="H26" s="51">
        <f t="shared" si="22"/>
        <v>4.8163329091271105</v>
      </c>
      <c r="I26" s="51">
        <f t="shared" si="22"/>
        <v>5.1534762127660079</v>
      </c>
      <c r="J26" s="51">
        <f t="shared" si="22"/>
        <v>5.5142195476596294</v>
      </c>
      <c r="K26" s="51">
        <f t="shared" si="22"/>
        <v>5.9002149159958019</v>
      </c>
      <c r="L26" s="51">
        <f t="shared" si="22"/>
        <v>6.3132299601155095</v>
      </c>
      <c r="M26" s="51">
        <f t="shared" si="22"/>
        <v>6.7551560573235951</v>
      </c>
    </row>
    <row r="27" spans="1:15" x14ac:dyDescent="0.45">
      <c r="A27" s="30" t="s">
        <v>155</v>
      </c>
      <c r="B27" s="51">
        <f>B15*B21</f>
        <v>8.1556996500000007</v>
      </c>
      <c r="C27" s="316"/>
      <c r="D27" s="51">
        <f>D15*D21</f>
        <v>8.5153230798300008</v>
      </c>
      <c r="E27" s="51">
        <f t="shared" ref="E27:H27" si="23">E15*E21</f>
        <v>8.3419889478050155</v>
      </c>
      <c r="F27" s="51">
        <f t="shared" si="23"/>
        <v>8.0444927669539208</v>
      </c>
      <c r="G27" s="51">
        <f t="shared" si="23"/>
        <v>7.5992875529656425</v>
      </c>
      <c r="H27" s="51">
        <f t="shared" si="23"/>
        <v>8.3751748121234346</v>
      </c>
      <c r="I27" s="51">
        <f t="shared" ref="I27:M27" si="24">I15*I21</f>
        <v>9.2302801604412377</v>
      </c>
      <c r="J27" s="51">
        <f t="shared" si="24"/>
        <v>10.172691764822289</v>
      </c>
      <c r="K27" s="51">
        <f t="shared" si="24"/>
        <v>11.211323594010642</v>
      </c>
      <c r="L27" s="51">
        <f t="shared" si="24"/>
        <v>12.35599973295913</v>
      </c>
      <c r="M27" s="51">
        <f t="shared" si="24"/>
        <v>13.617547305694256</v>
      </c>
    </row>
    <row r="28" spans="1:15" x14ac:dyDescent="0.45">
      <c r="A28" s="313"/>
      <c r="B28" s="340"/>
      <c r="C28" s="313"/>
      <c r="D28" s="340"/>
      <c r="E28" s="340"/>
      <c r="F28" s="340"/>
      <c r="G28" s="340"/>
      <c r="H28" s="340"/>
      <c r="I28" s="340"/>
      <c r="J28" s="120"/>
      <c r="K28" s="120"/>
      <c r="L28" s="120"/>
      <c r="M28" s="120"/>
    </row>
    <row r="29" spans="1:15" x14ac:dyDescent="0.45">
      <c r="A29" s="313"/>
      <c r="B29" s="340"/>
      <c r="C29" s="313"/>
      <c r="D29" s="340"/>
      <c r="E29" s="340"/>
      <c r="F29" s="340"/>
      <c r="G29" s="340"/>
      <c r="H29" s="340"/>
      <c r="I29" s="340"/>
      <c r="J29" s="120"/>
      <c r="K29" s="120"/>
      <c r="L29" s="120"/>
      <c r="M29" s="120"/>
    </row>
    <row r="30" spans="1:15" x14ac:dyDescent="0.45">
      <c r="A30" s="317" t="s">
        <v>466</v>
      </c>
      <c r="B30" s="341"/>
      <c r="C30" s="318"/>
      <c r="D30" s="341"/>
      <c r="E30" s="341"/>
      <c r="F30" s="341"/>
      <c r="G30" s="341"/>
      <c r="H30" s="341"/>
      <c r="I30" s="341"/>
      <c r="J30" s="43"/>
      <c r="K30" s="43"/>
      <c r="L30" s="43"/>
      <c r="M30" s="43"/>
    </row>
    <row r="31" spans="1:15" x14ac:dyDescent="0.45">
      <c r="A31" s="319" t="s">
        <v>907</v>
      </c>
      <c r="B31" s="342">
        <f>B14</f>
        <v>0.13891499999999998</v>
      </c>
      <c r="C31" s="344"/>
      <c r="D31" s="342">
        <f>D14</f>
        <v>0.29727809999999999</v>
      </c>
      <c r="E31" s="342">
        <f t="shared" ref="E31:M31" si="25">E14</f>
        <v>0.63617513400000003</v>
      </c>
      <c r="F31" s="342">
        <f t="shared" si="25"/>
        <v>1.0210610900699999</v>
      </c>
      <c r="G31" s="342">
        <f t="shared" si="25"/>
        <v>1.4567138218332001</v>
      </c>
      <c r="H31" s="342">
        <f t="shared" si="25"/>
        <v>1.5586837893615242</v>
      </c>
      <c r="I31" s="342">
        <f t="shared" si="25"/>
        <v>1.6677916546168305</v>
      </c>
      <c r="J31" s="342">
        <f t="shared" si="25"/>
        <v>1.784537070440009</v>
      </c>
      <c r="K31" s="342">
        <f t="shared" si="25"/>
        <v>1.9094546653708093</v>
      </c>
      <c r="L31" s="342">
        <f t="shared" si="25"/>
        <v>2.0431164919467664</v>
      </c>
      <c r="M31" s="342">
        <f t="shared" si="25"/>
        <v>2.18613464638304</v>
      </c>
    </row>
    <row r="32" spans="1:15" x14ac:dyDescent="0.45">
      <c r="A32" s="30" t="s">
        <v>908</v>
      </c>
      <c r="B32" s="44">
        <f t="shared" ref="B32" si="26">$C$32*B14</f>
        <v>2.7782999999999999E-2</v>
      </c>
      <c r="C32" s="47">
        <f>CON!K30</f>
        <v>0.2</v>
      </c>
      <c r="D32" s="44">
        <f t="shared" ref="D32:M32" si="27">$C$32*D14</f>
        <v>5.9455620000000001E-2</v>
      </c>
      <c r="E32" s="44">
        <f t="shared" si="27"/>
        <v>0.12723502680000001</v>
      </c>
      <c r="F32" s="44">
        <f t="shared" si="27"/>
        <v>0.204212218014</v>
      </c>
      <c r="G32" s="44">
        <f t="shared" si="27"/>
        <v>0.29134276436664003</v>
      </c>
      <c r="H32" s="44">
        <f t="shared" si="27"/>
        <v>0.31173675787230487</v>
      </c>
      <c r="I32" s="44">
        <f t="shared" si="27"/>
        <v>0.33355833092336612</v>
      </c>
      <c r="J32" s="44">
        <f t="shared" si="27"/>
        <v>0.35690741408800181</v>
      </c>
      <c r="K32" s="44">
        <f t="shared" si="27"/>
        <v>0.38189093307416189</v>
      </c>
      <c r="L32" s="44">
        <f t="shared" si="27"/>
        <v>0.4086232983893533</v>
      </c>
      <c r="M32" s="44">
        <f t="shared" si="27"/>
        <v>0.437226929276608</v>
      </c>
    </row>
    <row r="33" spans="1:13" x14ac:dyDescent="0.45">
      <c r="A33" s="30" t="s">
        <v>909</v>
      </c>
      <c r="B33" s="44">
        <f t="shared" ref="B33" si="28">$C$33*B15</f>
        <v>0.1055754</v>
      </c>
      <c r="C33" s="47">
        <f>CON!J31-CON!K31</f>
        <v>0.04</v>
      </c>
      <c r="D33" s="44">
        <f t="shared" ref="D33:M33" si="29">$C$33*D15</f>
        <v>0.10702011599999998</v>
      </c>
      <c r="E33" s="44">
        <f t="shared" si="29"/>
        <v>0.10178802143999999</v>
      </c>
      <c r="F33" s="44">
        <f t="shared" si="29"/>
        <v>9.5299035073200006E-2</v>
      </c>
      <c r="G33" s="44">
        <f t="shared" si="29"/>
        <v>8.7402829309992006E-2</v>
      </c>
      <c r="H33" s="44">
        <f t="shared" si="29"/>
        <v>9.3521027361691433E-2</v>
      </c>
      <c r="I33" s="44">
        <f t="shared" si="29"/>
        <v>0.10006749927700984</v>
      </c>
      <c r="J33" s="44">
        <f t="shared" si="29"/>
        <v>0.10707222422640054</v>
      </c>
      <c r="K33" s="44">
        <f t="shared" si="29"/>
        <v>0.11456727992224856</v>
      </c>
      <c r="L33" s="44">
        <f t="shared" si="29"/>
        <v>0.12258698951680597</v>
      </c>
      <c r="M33" s="44">
        <f t="shared" si="29"/>
        <v>0.13116807878298237</v>
      </c>
    </row>
    <row r="34" spans="1:13" x14ac:dyDescent="0.45">
      <c r="A34" s="30" t="s">
        <v>910</v>
      </c>
      <c r="B34" s="44">
        <f t="shared" ref="B34" si="30">$C$34*B10</f>
        <v>1.9845000000000002E-2</v>
      </c>
      <c r="C34" s="47">
        <f>CON!K32</f>
        <v>5.0000000000000001E-3</v>
      </c>
      <c r="D34" s="44">
        <f t="shared" ref="D34:M34" si="31">$C$34*D10</f>
        <v>2.09305215E-2</v>
      </c>
      <c r="E34" s="44">
        <f t="shared" si="31"/>
        <v>2.20862605635E-2</v>
      </c>
      <c r="F34" s="44">
        <f t="shared" si="31"/>
        <v>2.3317022810056497E-2</v>
      </c>
      <c r="G34" s="44">
        <f t="shared" si="31"/>
        <v>2.4627948170007075E-2</v>
      </c>
      <c r="H34" s="44">
        <f t="shared" si="31"/>
        <v>2.6024534246655875E-2</v>
      </c>
      <c r="I34" s="44">
        <f t="shared" si="31"/>
        <v>2.7512661313060304E-2</v>
      </c>
      <c r="J34" s="44">
        <f t="shared" si="31"/>
        <v>2.9098619057826684E-2</v>
      </c>
      <c r="K34" s="44">
        <f t="shared" si="31"/>
        <v>3.078913520233089E-2</v>
      </c>
      <c r="L34" s="44">
        <f t="shared" si="31"/>
        <v>3.2591406120349074E-2</v>
      </c>
      <c r="M34" s="44">
        <f t="shared" si="31"/>
        <v>3.4513129600251762E-2</v>
      </c>
    </row>
    <row r="35" spans="1:13" x14ac:dyDescent="0.45">
      <c r="A35" s="30" t="s">
        <v>911</v>
      </c>
      <c r="B35" s="44">
        <f t="shared" ref="B35" si="32">$C$35*B12</f>
        <v>0.13891499999999998</v>
      </c>
      <c r="C35" s="47">
        <f>CON!K34</f>
        <v>0.05</v>
      </c>
      <c r="D35" s="44">
        <f t="shared" ref="D35:M35" si="33">$C$35*D12</f>
        <v>0.14863904999999999</v>
      </c>
      <c r="E35" s="44">
        <f t="shared" si="33"/>
        <v>0.15904378350000001</v>
      </c>
      <c r="F35" s="44">
        <f t="shared" si="33"/>
        <v>0.17017684834500002</v>
      </c>
      <c r="G35" s="44">
        <f t="shared" si="33"/>
        <v>0.18208922772915001</v>
      </c>
      <c r="H35" s="44">
        <f t="shared" si="33"/>
        <v>0.19483547367019052</v>
      </c>
      <c r="I35" s="44">
        <f t="shared" si="33"/>
        <v>0.20847395682710382</v>
      </c>
      <c r="J35" s="44">
        <f t="shared" si="33"/>
        <v>0.22306713380500112</v>
      </c>
      <c r="K35" s="44">
        <f t="shared" si="33"/>
        <v>0.23868183317135117</v>
      </c>
      <c r="L35" s="44">
        <f t="shared" si="33"/>
        <v>0.2553895614933458</v>
      </c>
      <c r="M35" s="44">
        <f t="shared" si="33"/>
        <v>0.27326683079788</v>
      </c>
    </row>
    <row r="36" spans="1:13" s="320" customFormat="1" x14ac:dyDescent="0.45">
      <c r="A36" s="31" t="s">
        <v>247</v>
      </c>
      <c r="B36" s="44">
        <f>SUM(B31:B35)</f>
        <v>0.43103340000000001</v>
      </c>
      <c r="C36" s="345"/>
      <c r="D36" s="44">
        <f>SUM(D31:D35)</f>
        <v>0.63332340750000005</v>
      </c>
      <c r="E36" s="44">
        <f t="shared" ref="E36:M36" si="34">SUM(E31:E35)</f>
        <v>1.0463282263035001</v>
      </c>
      <c r="F36" s="44">
        <f t="shared" si="34"/>
        <v>1.5140662143122565</v>
      </c>
      <c r="G36" s="44">
        <f t="shared" si="34"/>
        <v>2.0421765914089893</v>
      </c>
      <c r="H36" s="44">
        <f t="shared" si="34"/>
        <v>2.184801582512367</v>
      </c>
      <c r="I36" s="44">
        <f t="shared" si="34"/>
        <v>2.3374041029573709</v>
      </c>
      <c r="J36" s="44">
        <f t="shared" si="34"/>
        <v>2.5006824616172394</v>
      </c>
      <c r="K36" s="44">
        <f t="shared" si="34"/>
        <v>2.6753838467409019</v>
      </c>
      <c r="L36" s="44">
        <f t="shared" si="34"/>
        <v>2.8623077474666201</v>
      </c>
      <c r="M36" s="44">
        <f t="shared" si="34"/>
        <v>3.0623096148407623</v>
      </c>
    </row>
    <row r="37" spans="1:13" s="320" customFormat="1" x14ac:dyDescent="0.45">
      <c r="A37" s="321"/>
      <c r="B37" s="322"/>
      <c r="C37" s="322"/>
      <c r="D37" s="323"/>
      <c r="E37" s="323"/>
      <c r="F37" s="323"/>
      <c r="G37" s="323"/>
      <c r="H37" s="323"/>
      <c r="I37" s="323"/>
      <c r="J37" s="323"/>
      <c r="K37" s="323"/>
      <c r="L37" s="323"/>
      <c r="M37" s="323"/>
    </row>
    <row r="38" spans="1:13" s="320" customFormat="1" x14ac:dyDescent="0.45">
      <c r="A38" s="321"/>
      <c r="B38" s="322"/>
      <c r="C38" s="322"/>
      <c r="D38" s="323"/>
      <c r="E38" s="323"/>
      <c r="F38" s="323"/>
      <c r="G38" s="323"/>
      <c r="H38" s="323"/>
      <c r="I38" s="323"/>
      <c r="J38" s="323"/>
      <c r="K38" s="323"/>
      <c r="L38" s="323"/>
      <c r="M38" s="323"/>
    </row>
    <row r="40" spans="1:13" x14ac:dyDescent="0.45">
      <c r="A40" s="324"/>
      <c r="B40" s="321"/>
      <c r="C40" s="321"/>
      <c r="D40" s="321"/>
      <c r="E40" s="321"/>
      <c r="F40" s="321"/>
      <c r="G40" s="321"/>
      <c r="H40" s="325"/>
      <c r="I40" s="326"/>
      <c r="J40" s="321"/>
      <c r="K40" s="321"/>
      <c r="L40" s="321"/>
      <c r="M40" s="325"/>
    </row>
    <row r="41" spans="1:13" x14ac:dyDescent="0.45">
      <c r="A41" s="321"/>
      <c r="B41" s="321"/>
      <c r="C41" s="321"/>
      <c r="D41" s="321"/>
      <c r="E41" s="321"/>
      <c r="F41" s="321"/>
      <c r="G41" s="321"/>
      <c r="H41" s="321"/>
      <c r="I41" s="326"/>
      <c r="J41" s="321"/>
      <c r="K41" s="321"/>
      <c r="L41" s="321"/>
      <c r="M41" s="321"/>
    </row>
    <row r="42" spans="1:13" x14ac:dyDescent="0.45">
      <c r="A42" s="321"/>
      <c r="B42" s="321"/>
      <c r="C42" s="321"/>
      <c r="D42" s="321"/>
      <c r="E42" s="321"/>
      <c r="F42" s="321"/>
      <c r="G42" s="321"/>
      <c r="H42" s="327"/>
      <c r="I42" s="327"/>
      <c r="J42" s="327"/>
      <c r="K42" s="327"/>
      <c r="L42" s="327"/>
      <c r="M42" s="327"/>
    </row>
    <row r="43" spans="1:13" x14ac:dyDescent="0.45">
      <c r="A43" s="321"/>
      <c r="B43" s="321"/>
      <c r="C43" s="321"/>
      <c r="D43" s="321"/>
      <c r="E43" s="328"/>
      <c r="F43" s="328"/>
      <c r="G43" s="328"/>
      <c r="H43" s="329"/>
      <c r="I43" s="329"/>
      <c r="J43" s="329"/>
      <c r="K43" s="329"/>
      <c r="L43" s="329"/>
      <c r="M43" s="329"/>
    </row>
    <row r="44" spans="1:13" x14ac:dyDescent="0.45">
      <c r="A44" s="260"/>
      <c r="B44" s="260"/>
      <c r="C44" s="260"/>
      <c r="D44" s="260"/>
      <c r="E44" s="330"/>
      <c r="F44" s="330"/>
      <c r="G44" s="330"/>
      <c r="H44" s="331"/>
      <c r="I44" s="331"/>
      <c r="J44" s="331"/>
      <c r="K44" s="331"/>
      <c r="L44" s="331"/>
      <c r="M44" s="331"/>
    </row>
    <row r="45" spans="1:13" x14ac:dyDescent="0.45">
      <c r="A45" s="260"/>
      <c r="B45" s="260"/>
      <c r="C45" s="260"/>
      <c r="D45" s="260"/>
      <c r="E45" s="331"/>
      <c r="F45" s="331"/>
      <c r="G45" s="331"/>
      <c r="H45" s="331"/>
      <c r="I45" s="331"/>
      <c r="J45" s="331"/>
      <c r="K45" s="331"/>
      <c r="L45" s="331"/>
      <c r="M45" s="331"/>
    </row>
    <row r="46" spans="1:13" x14ac:dyDescent="0.45">
      <c r="A46" s="260"/>
      <c r="B46" s="260"/>
      <c r="C46" s="260"/>
      <c r="D46" s="260"/>
      <c r="E46" s="330"/>
      <c r="F46" s="330"/>
      <c r="G46" s="330"/>
      <c r="H46" s="331"/>
      <c r="I46" s="331"/>
      <c r="J46" s="331"/>
      <c r="K46" s="331"/>
      <c r="L46" s="331"/>
      <c r="M46" s="331"/>
    </row>
    <row r="47" spans="1:13" x14ac:dyDescent="0.45">
      <c r="A47" s="321"/>
      <c r="B47" s="321"/>
      <c r="C47" s="321"/>
      <c r="D47" s="321"/>
      <c r="E47" s="328"/>
      <c r="F47" s="328"/>
      <c r="G47" s="328"/>
      <c r="H47" s="328"/>
      <c r="I47" s="326"/>
      <c r="J47" s="321"/>
      <c r="K47" s="321"/>
      <c r="L47" s="321"/>
      <c r="M47" s="321"/>
    </row>
    <row r="48" spans="1:13" x14ac:dyDescent="0.45">
      <c r="A48" s="332"/>
      <c r="B48" s="333"/>
      <c r="C48" s="333"/>
      <c r="D48" s="333"/>
      <c r="E48" s="334"/>
      <c r="F48" s="334"/>
      <c r="G48" s="334"/>
      <c r="H48" s="335"/>
      <c r="I48" s="335"/>
      <c r="J48" s="335"/>
      <c r="K48" s="335"/>
      <c r="L48" s="335"/>
      <c r="M48" s="335"/>
    </row>
  </sheetData>
  <sheetProtection algorithmName="SHA-512" hashValue="KQXKuEbAfLnBmGPenjgp8sazaaCm0fRJ3GWm6xXeXjsZvJ6JGyAEiLYgF8XIidiZG/epnCjMExGVj91lJ67aRg==" saltValue="XRS9nBEfRj2jag4Q9OF9KA==" spinCount="100000" sheet="1" objects="1" scenarios="1" selectLockedCells="1"/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650"/>
  <sheetViews>
    <sheetView topLeftCell="J11" zoomScale="75" zoomScaleNormal="75" workbookViewId="0">
      <selection activeCell="C18" sqref="C18"/>
    </sheetView>
  </sheetViews>
  <sheetFormatPr defaultRowHeight="14.25" x14ac:dyDescent="0.45"/>
  <cols>
    <col min="1" max="1" width="43.796875" style="120" customWidth="1"/>
    <col min="2" max="2" width="11.6640625" style="120" customWidth="1"/>
    <col min="3" max="3" width="11.1328125" style="120" customWidth="1"/>
    <col min="4" max="4" width="12.19921875" style="120" customWidth="1"/>
    <col min="5" max="5" width="11.86328125" style="120" customWidth="1"/>
    <col min="6" max="6" width="13.86328125" style="408" customWidth="1"/>
    <col min="7" max="7" width="11.53125" style="408" customWidth="1"/>
    <col min="8" max="8" width="15.265625" style="408" customWidth="1"/>
    <col min="9" max="9" width="13.265625" style="408" customWidth="1"/>
    <col min="10" max="10" width="15.86328125" style="408" customWidth="1"/>
    <col min="11" max="11" width="8.59765625" style="396" customWidth="1"/>
    <col min="12" max="12" width="15.1328125" style="120" customWidth="1"/>
    <col min="13" max="13" width="7.3984375" style="120" customWidth="1"/>
    <col min="14" max="14" width="14.1328125" style="120" customWidth="1"/>
    <col min="15" max="15" width="10" style="120" customWidth="1"/>
    <col min="16" max="16" width="15.59765625" style="120" customWidth="1"/>
    <col min="17" max="17" width="8.9296875" style="120" customWidth="1"/>
    <col min="18" max="18" width="14.265625" style="120" customWidth="1"/>
    <col min="19" max="19" width="7.73046875" style="120" customWidth="1"/>
    <col min="20" max="20" width="15" style="120" customWidth="1"/>
    <col min="21" max="21" width="7.3984375" style="120" customWidth="1"/>
    <col min="22" max="22" width="14.33203125" style="120" customWidth="1"/>
    <col min="23" max="23" width="7.265625" style="120" customWidth="1"/>
    <col min="24" max="24" width="17.1328125" style="120" customWidth="1"/>
    <col min="25" max="25" width="15.796875" style="120" customWidth="1"/>
    <col min="26" max="26" width="15.33203125" style="120" customWidth="1"/>
    <col min="27" max="27" width="25.19921875" style="120" customWidth="1"/>
    <col min="28" max="28" width="19.1328125" style="120" customWidth="1"/>
    <col min="29" max="29" width="11" style="120" customWidth="1"/>
    <col min="30" max="30" width="16.9296875" style="120" customWidth="1"/>
    <col min="31" max="31" width="15.3984375" style="120" customWidth="1"/>
    <col min="32" max="32" width="10.9296875" style="120" customWidth="1"/>
    <col min="33" max="33" width="10" style="120" customWidth="1"/>
    <col min="34" max="16384" width="9.06640625" style="120"/>
  </cols>
  <sheetData>
    <row r="1" spans="1:22" ht="20.65" x14ac:dyDescent="0.6">
      <c r="A1" s="599" t="s">
        <v>465</v>
      </c>
      <c r="B1" s="600" t="str">
        <f>MKT!C1</f>
        <v>UK</v>
      </c>
      <c r="C1" s="601"/>
      <c r="D1" s="601"/>
      <c r="I1" s="602"/>
    </row>
    <row r="2" spans="1:22" x14ac:dyDescent="0.45">
      <c r="K2" s="603"/>
      <c r="L2" s="603"/>
      <c r="M2" s="603"/>
      <c r="N2" s="603"/>
      <c r="O2" s="603"/>
      <c r="P2" s="604"/>
      <c r="R2" s="603"/>
      <c r="S2" s="603"/>
      <c r="U2" s="396"/>
      <c r="V2" s="396"/>
    </row>
    <row r="3" spans="1:22" x14ac:dyDescent="0.45">
      <c r="A3" s="546" t="s">
        <v>203</v>
      </c>
      <c r="B3" s="553"/>
      <c r="C3" s="598" t="s">
        <v>205</v>
      </c>
      <c r="D3" s="598" t="s">
        <v>206</v>
      </c>
      <c r="F3" s="423"/>
      <c r="G3" s="422"/>
      <c r="H3" s="423"/>
      <c r="J3" s="525"/>
      <c r="K3" s="424"/>
      <c r="L3" s="424"/>
      <c r="M3" s="424"/>
      <c r="N3" s="424"/>
      <c r="O3" s="424"/>
      <c r="P3" s="426"/>
      <c r="R3" s="424"/>
      <c r="S3" s="424"/>
    </row>
    <row r="4" spans="1:22" x14ac:dyDescent="0.45">
      <c r="A4" s="43" t="s">
        <v>204</v>
      </c>
      <c r="B4" s="43"/>
      <c r="C4" s="386">
        <v>16</v>
      </c>
      <c r="D4" s="386">
        <v>22</v>
      </c>
      <c r="F4" s="423"/>
      <c r="H4" s="423"/>
      <c r="J4" s="607"/>
      <c r="K4" s="424"/>
      <c r="L4" s="424"/>
      <c r="M4" s="424"/>
      <c r="N4" s="424"/>
      <c r="O4" s="583"/>
      <c r="P4" s="426"/>
      <c r="R4" s="424"/>
      <c r="S4" s="424"/>
    </row>
    <row r="5" spans="1:22" x14ac:dyDescent="0.45">
      <c r="A5" s="43" t="s">
        <v>72</v>
      </c>
      <c r="B5" s="387">
        <v>1.25</v>
      </c>
      <c r="C5" s="588">
        <f>B5</f>
        <v>1.25</v>
      </c>
      <c r="D5" s="588">
        <f>B5</f>
        <v>1.25</v>
      </c>
      <c r="H5" s="423"/>
      <c r="J5" s="423"/>
      <c r="K5" s="424"/>
      <c r="L5" s="424"/>
      <c r="M5" s="424"/>
      <c r="N5" s="424"/>
      <c r="O5" s="583"/>
      <c r="P5" s="426"/>
      <c r="R5" s="424"/>
      <c r="S5" s="424"/>
    </row>
    <row r="6" spans="1:22" x14ac:dyDescent="0.45">
      <c r="A6" s="43" t="s">
        <v>45</v>
      </c>
      <c r="B6" s="43"/>
      <c r="C6" s="584">
        <f>C4/$B$5</f>
        <v>12.8</v>
      </c>
      <c r="D6" s="584">
        <f>D4/$B$5</f>
        <v>17.600000000000001</v>
      </c>
      <c r="F6" s="608"/>
      <c r="H6" s="423"/>
      <c r="J6" s="423"/>
      <c r="K6" s="424"/>
      <c r="L6" s="424"/>
      <c r="M6" s="424"/>
      <c r="N6" s="424"/>
      <c r="O6" s="583"/>
      <c r="P6" s="426"/>
      <c r="R6" s="424"/>
      <c r="S6" s="424"/>
    </row>
    <row r="7" spans="1:22" x14ac:dyDescent="0.45">
      <c r="A7" s="43" t="s">
        <v>43</v>
      </c>
      <c r="B7" s="7">
        <v>0.65</v>
      </c>
      <c r="C7" s="584">
        <f>C6*$B$7</f>
        <v>8.32</v>
      </c>
      <c r="D7" s="584">
        <f>D6*$B$7</f>
        <v>11.440000000000001</v>
      </c>
      <c r="F7" s="459"/>
      <c r="H7" s="459"/>
      <c r="J7" s="459"/>
      <c r="K7" s="424"/>
      <c r="L7" s="424"/>
      <c r="M7" s="424"/>
      <c r="N7" s="424"/>
      <c r="O7" s="583"/>
      <c r="P7" s="426"/>
      <c r="R7" s="424"/>
      <c r="S7" s="424"/>
    </row>
    <row r="8" spans="1:22" x14ac:dyDescent="0.45">
      <c r="A8" s="43" t="s">
        <v>44</v>
      </c>
      <c r="B8" s="384">
        <v>325</v>
      </c>
      <c r="C8" s="582">
        <f>B8</f>
        <v>325</v>
      </c>
      <c r="D8" s="582">
        <f>B8</f>
        <v>325</v>
      </c>
      <c r="F8" s="459"/>
      <c r="H8" s="455"/>
      <c r="J8" s="455"/>
      <c r="K8" s="455"/>
      <c r="L8" s="455"/>
      <c r="M8" s="455"/>
      <c r="N8" s="455"/>
      <c r="O8" s="583"/>
      <c r="P8" s="589"/>
      <c r="R8" s="424"/>
      <c r="S8" s="424"/>
    </row>
    <row r="9" spans="1:22" x14ac:dyDescent="0.45">
      <c r="A9" s="43" t="s">
        <v>917</v>
      </c>
      <c r="B9" s="43"/>
      <c r="C9" s="580">
        <f>+C7*$B$8</f>
        <v>2704</v>
      </c>
      <c r="D9" s="580">
        <f>+D7*$B$8</f>
        <v>3718.0000000000005</v>
      </c>
      <c r="F9" s="459"/>
      <c r="H9" s="455"/>
      <c r="J9" s="455"/>
      <c r="K9" s="455"/>
      <c r="L9" s="455"/>
      <c r="M9" s="455"/>
      <c r="N9" s="455"/>
      <c r="O9" s="583"/>
      <c r="P9" s="589"/>
      <c r="R9" s="424"/>
      <c r="S9" s="424"/>
    </row>
    <row r="10" spans="1:22" s="408" customFormat="1" x14ac:dyDescent="0.45">
      <c r="A10" s="43" t="s">
        <v>207</v>
      </c>
      <c r="B10" s="43"/>
      <c r="C10" s="388">
        <v>2000</v>
      </c>
      <c r="D10" s="388">
        <v>1000</v>
      </c>
      <c r="F10" s="591"/>
      <c r="H10" s="591"/>
      <c r="J10" s="592"/>
      <c r="K10" s="424"/>
      <c r="L10" s="424"/>
      <c r="M10" s="424"/>
      <c r="N10" s="424"/>
      <c r="O10" s="583"/>
      <c r="P10" s="426"/>
      <c r="R10" s="424"/>
      <c r="S10" s="424"/>
    </row>
    <row r="11" spans="1:22" x14ac:dyDescent="0.45">
      <c r="F11" s="594"/>
      <c r="H11" s="595"/>
      <c r="J11" s="422"/>
      <c r="K11" s="424"/>
      <c r="L11" s="424"/>
      <c r="M11" s="424"/>
      <c r="N11" s="424"/>
      <c r="O11" s="583"/>
      <c r="P11" s="426"/>
      <c r="R11" s="424"/>
      <c r="S11" s="424"/>
    </row>
    <row r="12" spans="1:22" x14ac:dyDescent="0.45">
      <c r="H12" s="594"/>
      <c r="J12" s="422"/>
      <c r="K12" s="424"/>
      <c r="L12" s="424"/>
      <c r="M12" s="424"/>
      <c r="N12" s="424"/>
      <c r="O12" s="583"/>
      <c r="P12" s="426"/>
      <c r="R12" s="424"/>
      <c r="S12" s="424"/>
    </row>
    <row r="13" spans="1:22" x14ac:dyDescent="0.45">
      <c r="A13" s="546" t="s">
        <v>202</v>
      </c>
      <c r="B13" s="605" t="s">
        <v>179</v>
      </c>
      <c r="C13" s="605" t="s">
        <v>180</v>
      </c>
      <c r="D13" s="605" t="s">
        <v>181</v>
      </c>
      <c r="E13" s="605" t="s">
        <v>6</v>
      </c>
      <c r="N13" s="424"/>
      <c r="O13" s="583"/>
      <c r="P13" s="426"/>
      <c r="R13" s="424"/>
      <c r="S13" s="424"/>
    </row>
    <row r="14" spans="1:22" x14ac:dyDescent="0.45">
      <c r="A14" s="43" t="s">
        <v>229</v>
      </c>
      <c r="B14" s="6" t="str">
        <f>MKT!E6</f>
        <v>&gt;1000</v>
      </c>
      <c r="C14" s="6" t="str">
        <f>MKT!F6</f>
        <v>200-1000</v>
      </c>
      <c r="D14" s="6" t="str">
        <f>MKT!G6</f>
        <v>&lt;200</v>
      </c>
      <c r="E14" s="606"/>
      <c r="N14" s="424"/>
      <c r="O14" s="583"/>
      <c r="P14" s="426"/>
      <c r="R14" s="424"/>
      <c r="S14" s="424"/>
    </row>
    <row r="15" spans="1:22" x14ac:dyDescent="0.45">
      <c r="A15" s="43" t="s">
        <v>913</v>
      </c>
      <c r="B15" s="344">
        <f>MKT!E24</f>
        <v>0.5</v>
      </c>
      <c r="C15" s="344">
        <f>MKT!F24</f>
        <v>0.34</v>
      </c>
      <c r="D15" s="344">
        <f>MKT!G24</f>
        <v>0.15999999999999998</v>
      </c>
      <c r="E15" s="606"/>
      <c r="N15" s="424"/>
      <c r="O15" s="583"/>
      <c r="P15" s="426"/>
      <c r="R15" s="424"/>
      <c r="S15" s="424"/>
    </row>
    <row r="16" spans="1:22" x14ac:dyDescent="0.45">
      <c r="A16" s="43" t="s">
        <v>914</v>
      </c>
      <c r="B16" s="344">
        <f>MKT!E23</f>
        <v>2.0554796064305412E-2</v>
      </c>
      <c r="C16" s="344">
        <f>MKT!F23</f>
        <v>3.8172651758235907E-2</v>
      </c>
      <c r="D16" s="344">
        <f>MKT!G23</f>
        <v>0.94127255217745864</v>
      </c>
      <c r="E16" s="606"/>
      <c r="N16" s="424"/>
      <c r="O16" s="583"/>
      <c r="P16" s="426"/>
      <c r="R16" s="424"/>
      <c r="S16" s="424"/>
    </row>
    <row r="17" spans="1:29" x14ac:dyDescent="0.45">
      <c r="A17" s="43" t="s">
        <v>227</v>
      </c>
      <c r="B17" s="296">
        <f>B18*2/1.4142</f>
        <v>353.55678121906379</v>
      </c>
      <c r="C17" s="296">
        <f>C18*2/1.4142</f>
        <v>565.69084995050207</v>
      </c>
      <c r="D17" s="296">
        <f>D18*2/1.4142</f>
        <v>14142.271248762552</v>
      </c>
      <c r="E17" s="296">
        <f>($B$15*B17)+($C$15*C17)+($D$15*D17)</f>
        <v>2631.8766793947107</v>
      </c>
      <c r="N17" s="424"/>
      <c r="O17" s="583"/>
      <c r="P17" s="426"/>
      <c r="R17" s="424"/>
      <c r="S17" s="424"/>
    </row>
    <row r="18" spans="1:29" x14ac:dyDescent="0.45">
      <c r="A18" s="43" t="s">
        <v>228</v>
      </c>
      <c r="B18" s="907">
        <f>CON!C8</f>
        <v>250</v>
      </c>
      <c r="C18" s="177">
        <f>CON!D8</f>
        <v>400</v>
      </c>
      <c r="D18" s="177">
        <f>CON!E8</f>
        <v>10000</v>
      </c>
      <c r="E18" s="296">
        <f>($B$15*B18)+($C$15*C18)+($D$15*D18)</f>
        <v>1860.9999999999998</v>
      </c>
      <c r="N18" s="424"/>
      <c r="O18" s="581"/>
      <c r="P18" s="426"/>
      <c r="R18" s="424"/>
      <c r="S18" s="424"/>
    </row>
    <row r="19" spans="1:29" x14ac:dyDescent="0.45">
      <c r="A19" s="43" t="s">
        <v>843</v>
      </c>
      <c r="B19" s="509">
        <f>B18/2</f>
        <v>125</v>
      </c>
      <c r="C19" s="509">
        <f t="shared" ref="C19:D19" si="0">C18/2</f>
        <v>200</v>
      </c>
      <c r="D19" s="509">
        <f t="shared" si="0"/>
        <v>5000</v>
      </c>
      <c r="E19" s="296">
        <f>($B$15*B19)+($C$15*C19)+($D$15*D19)</f>
        <v>930.49999999999989</v>
      </c>
      <c r="N19" s="424"/>
      <c r="O19" s="583"/>
      <c r="P19" s="426"/>
      <c r="R19" s="424"/>
      <c r="S19" s="705"/>
    </row>
    <row r="20" spans="1:29" x14ac:dyDescent="0.45">
      <c r="A20" s="42" t="s">
        <v>70</v>
      </c>
      <c r="B20" s="590">
        <f>(1000/(2*B18/1.4142)*1000/(2*B18/1.4142))</f>
        <v>7.9998465599999991</v>
      </c>
      <c r="C20" s="590">
        <f>(1000/(2*C18/1.4142)*1000/(2*C18/1.4142))</f>
        <v>3.1249400624999999</v>
      </c>
      <c r="D20" s="590">
        <f>(1000/(2*D18/1.4142)*1000/(2*D18/1.4142))</f>
        <v>4.9999040999999991E-3</v>
      </c>
      <c r="E20" s="44"/>
      <c r="N20" s="424"/>
      <c r="O20" s="583"/>
      <c r="P20" s="426"/>
    </row>
    <row r="21" spans="1:29" x14ac:dyDescent="0.45">
      <c r="A21" s="43"/>
      <c r="B21" s="593"/>
      <c r="C21" s="47"/>
      <c r="D21" s="593"/>
      <c r="E21" s="43"/>
      <c r="N21" s="448"/>
      <c r="O21" s="581"/>
      <c r="P21" s="426"/>
    </row>
    <row r="22" spans="1:29" x14ac:dyDescent="0.45">
      <c r="A22" s="532" t="s">
        <v>230</v>
      </c>
      <c r="B22" s="596">
        <f>B15*E22</f>
        <v>35196</v>
      </c>
      <c r="C22" s="596">
        <f>C15*E22</f>
        <v>23933.280000000002</v>
      </c>
      <c r="D22" s="596">
        <f>D15*E22</f>
        <v>11262.719999999998</v>
      </c>
      <c r="E22" s="597">
        <f>X44</f>
        <v>70392</v>
      </c>
    </row>
    <row r="24" spans="1:29" ht="14.65" thickBot="1" x14ac:dyDescent="0.5">
      <c r="B24" s="369"/>
    </row>
    <row r="25" spans="1:29" ht="38.65" thickBot="1" x14ac:dyDescent="0.5">
      <c r="A25" s="492" t="s">
        <v>215</v>
      </c>
      <c r="B25" s="492" t="s">
        <v>137</v>
      </c>
      <c r="C25" s="492" t="s">
        <v>248</v>
      </c>
      <c r="D25" s="492" t="s">
        <v>268</v>
      </c>
      <c r="E25" s="493" t="s">
        <v>267</v>
      </c>
      <c r="F25" s="494" t="s">
        <v>9</v>
      </c>
      <c r="G25" s="495"/>
      <c r="H25" s="494" t="s">
        <v>10</v>
      </c>
      <c r="I25" s="496"/>
      <c r="J25" s="494" t="s">
        <v>11</v>
      </c>
      <c r="K25" s="497"/>
      <c r="L25" s="494" t="s">
        <v>12</v>
      </c>
      <c r="M25" s="496"/>
      <c r="N25" s="494" t="s">
        <v>200</v>
      </c>
      <c r="O25" s="496"/>
      <c r="P25" s="494" t="s">
        <v>143</v>
      </c>
      <c r="Q25" s="496"/>
      <c r="R25" s="494" t="s">
        <v>139</v>
      </c>
      <c r="S25" s="496"/>
      <c r="T25" s="494" t="s">
        <v>140</v>
      </c>
      <c r="U25" s="495"/>
      <c r="V25" s="494" t="s">
        <v>141</v>
      </c>
      <c r="W25" s="495"/>
      <c r="X25" s="494" t="s">
        <v>142</v>
      </c>
      <c r="Y25" s="498"/>
    </row>
    <row r="26" spans="1:29" x14ac:dyDescent="0.45">
      <c r="A26" s="499"/>
      <c r="B26" s="499"/>
      <c r="C26" s="499"/>
      <c r="D26" s="499"/>
      <c r="E26" s="500"/>
      <c r="F26" s="501" t="s">
        <v>71</v>
      </c>
      <c r="G26" s="501" t="s">
        <v>269</v>
      </c>
      <c r="H26" s="501" t="s">
        <v>71</v>
      </c>
      <c r="I26" s="501" t="s">
        <v>201</v>
      </c>
      <c r="J26" s="501" t="s">
        <v>71</v>
      </c>
      <c r="K26" s="502" t="s">
        <v>199</v>
      </c>
      <c r="L26" s="501" t="s">
        <v>71</v>
      </c>
      <c r="M26" s="501" t="s">
        <v>199</v>
      </c>
      <c r="N26" s="503" t="s">
        <v>71</v>
      </c>
      <c r="O26" s="501" t="s">
        <v>199</v>
      </c>
      <c r="P26" s="501" t="s">
        <v>71</v>
      </c>
      <c r="Q26" s="501" t="s">
        <v>199</v>
      </c>
      <c r="R26" s="501" t="s">
        <v>71</v>
      </c>
      <c r="S26" s="501" t="s">
        <v>199</v>
      </c>
      <c r="T26" s="501" t="s">
        <v>71</v>
      </c>
      <c r="U26" s="501" t="s">
        <v>199</v>
      </c>
      <c r="V26" s="501" t="s">
        <v>71</v>
      </c>
      <c r="W26" s="501" t="s">
        <v>199</v>
      </c>
      <c r="X26" s="501" t="s">
        <v>71</v>
      </c>
      <c r="Y26" s="501" t="s">
        <v>199</v>
      </c>
    </row>
    <row r="27" spans="1:29" x14ac:dyDescent="0.45">
      <c r="A27" s="504"/>
      <c r="B27" s="505"/>
      <c r="C27" s="505"/>
      <c r="D27" s="505"/>
      <c r="E27" s="505"/>
      <c r="F27" s="506"/>
      <c r="G27" s="506"/>
      <c r="H27" s="507"/>
      <c r="I27" s="507"/>
      <c r="J27" s="507"/>
      <c r="K27" s="507"/>
      <c r="L27" s="508"/>
      <c r="M27" s="508"/>
      <c r="N27" s="508"/>
      <c r="O27" s="508"/>
      <c r="P27" s="508"/>
      <c r="Q27" s="508"/>
      <c r="R27" s="509"/>
      <c r="S27" s="509"/>
      <c r="T27" s="509"/>
      <c r="U27" s="509"/>
      <c r="V27" s="509"/>
      <c r="W27" s="296"/>
      <c r="X27" s="296"/>
      <c r="Y27" s="43"/>
    </row>
    <row r="28" spans="1:29" x14ac:dyDescent="0.45">
      <c r="A28" s="336" t="str">
        <f>MKT!A7</f>
        <v>London inner 1</v>
      </c>
      <c r="B28" s="510" t="str">
        <f>MKT!B7</f>
        <v>x</v>
      </c>
      <c r="C28" s="511">
        <f>IF(B28="x",MKT!C7*1000000/MKT!D7,"")</f>
        <v>12995.364743589744</v>
      </c>
      <c r="D28" s="512">
        <f>IF(B28="x",(MKT!E7*$B$20)+(MKT!F7*$C$20)+(MKT!G7*$D$20),"")</f>
        <v>7.4499571070819997</v>
      </c>
      <c r="E28" s="511">
        <f>IF(B28="x",ROUNDUP((MKT!D7*D28),0),"")</f>
        <v>1163</v>
      </c>
      <c r="F28" s="513">
        <f>IFERROR(E28*0.1,"0")</f>
        <v>116.30000000000001</v>
      </c>
      <c r="G28" s="514">
        <f>IF($B28="x",('MKT2'!$D$36*1000)*(MKT!$H7/MKT!$H$23)*(F28/$E28)*CON!$B$62,"0")</f>
        <v>6.9108032943501679E-2</v>
      </c>
      <c r="H28" s="513">
        <f>IFERROR(E28*0.2,"0")</f>
        <v>232.60000000000002</v>
      </c>
      <c r="I28" s="515">
        <f>IF($B28="x",('MKT2'!$E$36*1000)*(MKT!$H7/MKT!$H$23)*(H28/$E28)*CON!$C$62,"")</f>
        <v>0.51897716852792763</v>
      </c>
      <c r="J28" s="513">
        <f>IFERROR(E28*0.3,"0")</f>
        <v>348.9</v>
      </c>
      <c r="K28" s="515">
        <f>IF($B28="x",('MKT2'!$F$36*1000)*(MKT!$H7/MKT!$H$23)*(J28/$E28)*CON!$D$62,"")</f>
        <v>2.1177480368610642</v>
      </c>
      <c r="L28" s="513">
        <f>IFERROR(E28*0.4,"0")</f>
        <v>465.20000000000005</v>
      </c>
      <c r="M28" s="515">
        <f>IF($B28="x",('MKT2'!$G$36*1000)*(MKT!$H7/MKT!$H$23)*(L28/$E28)*CON!$E$62,"")</f>
        <v>9.318830922536435</v>
      </c>
      <c r="N28" s="513">
        <f>IFERROR(E28*0.5,"0")</f>
        <v>581.5</v>
      </c>
      <c r="O28" s="515">
        <f>IF($B28="x",('MKT2'!$H$36*1000)*(MKT!$H7/MKT!$H$23)*(N28/$E28)*CON!$F$62,"")</f>
        <v>26.332893720327423</v>
      </c>
      <c r="P28" s="513">
        <f>IFERROR(E28*0.6,"0")</f>
        <v>697.8</v>
      </c>
      <c r="Q28" s="515">
        <f>IF($B28="x",('MKT2'!$I$36*1000)*(MKT!$H7/MKT!$H$23)*(P28/$E28)*CON!$G$62,"")</f>
        <v>38.536753778029635</v>
      </c>
      <c r="R28" s="513">
        <f>IFERROR(E28*0.7,"0")</f>
        <v>814.09999999999991</v>
      </c>
      <c r="S28" s="515">
        <f>IF($B28="x",('MKT2'!$J$36*1000)*(MKT!$H7/MKT!$H$23)*(R28/$E28)*CON!$H$62,"")</f>
        <v>54.004168537126347</v>
      </c>
      <c r="T28" s="513">
        <f>IFERROR(E28*0.8,"0")</f>
        <v>930.40000000000009</v>
      </c>
      <c r="U28" s="515">
        <f>IF($B28="x",('MKT2'!$K$36*1000)*(MKT!$H7/MKT!$H$23)*(T28/$E28)*CON!$I$62,"")</f>
        <v>66.030834098195683</v>
      </c>
      <c r="V28" s="513">
        <f>IFERROR(E28*0.9,"0")</f>
        <v>1046.7</v>
      </c>
      <c r="W28" s="168">
        <f>IF($B28="x",('MKT2'!$L$36*1000)*(MKT!$H7/MKT!$H$23)*(V28/$E28)*CON!$J$62,"")</f>
        <v>79.47481602362717</v>
      </c>
      <c r="X28" s="513">
        <f>IFERROR(E28*1,"0")</f>
        <v>1163</v>
      </c>
      <c r="Y28" s="168">
        <f>IF($B28="x",('MKT2'!$M$36*1000)*(MKT!$H7/MKT!$H$23)*(X28/$E28)*CON!$K$62,"")</f>
        <v>94.475629348095296</v>
      </c>
    </row>
    <row r="29" spans="1:29" x14ac:dyDescent="0.45">
      <c r="A29" s="336" t="str">
        <f>MKT!A8</f>
        <v>London inner 2</v>
      </c>
      <c r="B29" s="510" t="str">
        <f>MKT!B8</f>
        <v>x</v>
      </c>
      <c r="C29" s="511">
        <f>IF(B29="x",MKT!C8*1000000/MKT!D8,"")</f>
        <v>10208.310975609756</v>
      </c>
      <c r="D29" s="512">
        <f>IF(B29="x",(MKT!E8*$B$20)+(MKT!F8*$C$20)+(MKT!G8*$D$20),"")</f>
        <v>6.9000676541639985</v>
      </c>
      <c r="E29" s="511">
        <f>IF(B29="x",ROUNDUP((MKT!D8*D29),0),"")</f>
        <v>1132</v>
      </c>
      <c r="F29" s="513">
        <f t="shared" ref="F29:F43" si="1">IFERROR(E29*0.1,"0")</f>
        <v>113.2</v>
      </c>
      <c r="G29" s="514">
        <f>IF($B29="x",('MKT2'!$D$36*1000)*(MKT!$H8/MKT!$H$23)*(F29/$E29)*CON!$B$62,"0")</f>
        <v>5.0850233847074378E-2</v>
      </c>
      <c r="H29" s="513">
        <f t="shared" ref="H29:H43" si="2">IFERROR(E29*0.2,"0")</f>
        <v>226.4</v>
      </c>
      <c r="I29" s="515">
        <f>IF($B29="x",('MKT2'!$E$36*1000)*(MKT!$H8/MKT!$H$23)*(H29/$E29)*CON!$C$62,"")</f>
        <v>0.38186747989937042</v>
      </c>
      <c r="J29" s="513">
        <f t="shared" ref="J29:J43" si="3">IFERROR(E29*0.3,"0")</f>
        <v>339.59999999999997</v>
      </c>
      <c r="K29" s="515">
        <f>IF($B29="x",('MKT2'!$F$36*1000)*(MKT!$H8/MKT!$H$23)*(J29/$E29)*CON!$D$62,"")</f>
        <v>1.5582556515768093</v>
      </c>
      <c r="L29" s="513">
        <f t="shared" ref="L29:L43" si="4">IFERROR(E29*0.4,"0")</f>
        <v>452.8</v>
      </c>
      <c r="M29" s="515">
        <f>IF($B29="x",('MKT2'!$G$36*1000)*(MKT!$H8/MKT!$H$23)*(L29/$E29)*CON!$E$62,"")</f>
        <v>6.8568690412549751</v>
      </c>
      <c r="N29" s="513">
        <f t="shared" ref="N29:N43" si="5">IFERROR(E29*0.5,"0")</f>
        <v>566</v>
      </c>
      <c r="O29" s="515">
        <f>IF($B29="x",('MKT2'!$H$36*1000)*(MKT!$H8/MKT!$H$23)*(N29/$E29)*CON!$F$62,"")</f>
        <v>19.375950182861008</v>
      </c>
      <c r="P29" s="513">
        <f t="shared" ref="P29:P43" si="6">IFERROR(E29*0.6,"0")</f>
        <v>679.19999999999993</v>
      </c>
      <c r="Q29" s="515">
        <f>IF($B29="x",('MKT2'!$I$36*1000)*(MKT!$H8/MKT!$H$23)*(P29/$E29)*CON!$G$62,"")</f>
        <v>28.35564633885587</v>
      </c>
      <c r="R29" s="513">
        <f t="shared" ref="R29:R43" si="7">IFERROR(E29*0.7,"0")</f>
        <v>792.4</v>
      </c>
      <c r="S29" s="515">
        <f>IF($B29="x",('MKT2'!$J$36*1000)*(MKT!$H8/MKT!$H$23)*(R29/$E29)*CON!$H$62,"")</f>
        <v>39.736691696531828</v>
      </c>
      <c r="T29" s="513">
        <f t="shared" ref="T29:T43" si="8">IFERROR(E29*0.8,"0")</f>
        <v>905.6</v>
      </c>
      <c r="U29" s="515">
        <f>IF($B29="x",('MKT2'!$K$36*1000)*(MKT!$H8/MKT!$H$23)*(T29/$E29)*CON!$I$62,"")</f>
        <v>48.586006749109046</v>
      </c>
      <c r="V29" s="513">
        <f t="shared" ref="V29:V43" si="9">IFERROR(E29*0.9,"0")</f>
        <v>1018.8000000000001</v>
      </c>
      <c r="W29" s="168">
        <f>IF($B29="x",('MKT2'!$L$36*1000)*(MKT!$H8/MKT!$H$23)*(V29/$E29)*CON!$J$62,"")</f>
        <v>58.478194323061913</v>
      </c>
      <c r="X29" s="513">
        <f t="shared" ref="X29:X43" si="10">IFERROR(E29*1,"0")</f>
        <v>1132</v>
      </c>
      <c r="Y29" s="168">
        <f>IF($B29="x",('MKT2'!$M$36*1000)*(MKT!$H8/MKT!$H$23)*(X29/$E29)*CON!$K$62,"")</f>
        <v>69.515910677528638</v>
      </c>
      <c r="AC29" s="516"/>
    </row>
    <row r="30" spans="1:29" x14ac:dyDescent="0.45">
      <c r="A30" s="336" t="str">
        <f>MKT!A9</f>
        <v>London outer</v>
      </c>
      <c r="B30" s="510" t="str">
        <f>MKT!B9</f>
        <v>x</v>
      </c>
      <c r="C30" s="511">
        <f>IF(B30="x",MKT!C9*1000000/MKT!D9,"")</f>
        <v>4430.2410215482842</v>
      </c>
      <c r="D30" s="512">
        <f>IF(B30="x",(MKT!E9*$B$20)+(MKT!F9*$C$20)+(MKT!G9*$D$20),"")</f>
        <v>6.6251229277050001</v>
      </c>
      <c r="E30" s="511">
        <f>IF(B30="x",ROUNDUP((MKT!D9*D30),0),"")</f>
        <v>8302</v>
      </c>
      <c r="F30" s="513">
        <f t="shared" si="1"/>
        <v>830.2</v>
      </c>
      <c r="G30" s="514">
        <f>IF($B30="x",('MKT2'!$D$36*1000)*(MKT!$H9/MKT!$H$23)*(F30/$E30)*CON!$B$62,"0")</f>
        <v>0.1934421358811553</v>
      </c>
      <c r="H30" s="513">
        <f t="shared" si="2"/>
        <v>1660.4</v>
      </c>
      <c r="I30" s="515">
        <f>IF($B30="x",('MKT2'!$E$36*1000)*(MKT!$H9/MKT!$H$23)*(H30/$E30)*CON!$C$62,"")</f>
        <v>1.4526828167091774</v>
      </c>
      <c r="J30" s="513">
        <f t="shared" si="3"/>
        <v>2490.6</v>
      </c>
      <c r="K30" s="515">
        <f>IF($B30="x",('MKT2'!$F$36*1000)*(MKT!$H9/MKT!$H$23)*(J30/$E30)*CON!$D$62,"")</f>
        <v>5.9278449416067343</v>
      </c>
      <c r="L30" s="513">
        <f t="shared" si="4"/>
        <v>3320.8</v>
      </c>
      <c r="M30" s="515">
        <f>IF($B30="x",('MKT2'!$G$36*1000)*(MKT!$H9/MKT!$H$23)*(L30/$E30)*CON!$E$62,"")</f>
        <v>26.084587866139106</v>
      </c>
      <c r="N30" s="513">
        <f t="shared" si="5"/>
        <v>4151</v>
      </c>
      <c r="O30" s="515">
        <f>IF($B30="x",('MKT2'!$H$36*1000)*(MKT!$H9/MKT!$H$23)*(N30/$E30)*CON!$F$62,"")</f>
        <v>73.709104256462339</v>
      </c>
      <c r="P30" s="513">
        <f t="shared" si="6"/>
        <v>4981.2</v>
      </c>
      <c r="Q30" s="515">
        <f>IF($B30="x",('MKT2'!$I$36*1000)*(MKT!$H9/MKT!$H$23)*(P30/$E30)*CON!$G$62,"")</f>
        <v>107.86925402496503</v>
      </c>
      <c r="R30" s="513">
        <f t="shared" si="7"/>
        <v>5811.4</v>
      </c>
      <c r="S30" s="515">
        <f>IF($B30="x",('MKT2'!$J$36*1000)*(MKT!$H9/MKT!$H$23)*(R30/$E30)*CON!$H$62,"")</f>
        <v>151.16450669125757</v>
      </c>
      <c r="T30" s="513">
        <f t="shared" si="8"/>
        <v>6641.6</v>
      </c>
      <c r="U30" s="515">
        <f>IF($B30="x",('MKT2'!$K$36*1000)*(MKT!$H9/MKT!$H$23)*(T30/$E30)*CON!$I$62,"")</f>
        <v>184.8286666242071</v>
      </c>
      <c r="V30" s="513">
        <f t="shared" si="9"/>
        <v>7471.8</v>
      </c>
      <c r="W30" s="168">
        <f>IF($B30="x",('MKT2'!$L$36*1000)*(MKT!$H9/MKT!$H$23)*(V30/$E30)*CON!$J$62,"")</f>
        <v>222.46007454648478</v>
      </c>
      <c r="X30" s="513">
        <f t="shared" si="10"/>
        <v>8302</v>
      </c>
      <c r="Y30" s="168">
        <f>IF($B30="x",('MKT2'!$M$36*1000)*(MKT!$H9/MKT!$H$23)*(X30/$E30)*CON!$K$62,"")</f>
        <v>264.44925070798723</v>
      </c>
    </row>
    <row r="31" spans="1:29" x14ac:dyDescent="0.45">
      <c r="A31" s="336" t="str">
        <f>MKT!A10</f>
        <v>Southeast</v>
      </c>
      <c r="B31" s="510" t="str">
        <f>MKT!B10</f>
        <v>x</v>
      </c>
      <c r="C31" s="511">
        <f>IF(B31="x",MKT!C10*1000000/MKT!D10,"")</f>
        <v>478.92197986577179</v>
      </c>
      <c r="D31" s="512">
        <f>IF(B31="x",(MKT!E10*$B$20)+(MKT!F10*$C$20)+(MKT!G10*$D$20),"")</f>
        <v>0.62313804798299999</v>
      </c>
      <c r="E31" s="511">
        <f>IF(B31="x",ROUNDUP((MKT!D10*D31),0),"")</f>
        <v>11885</v>
      </c>
      <c r="F31" s="513">
        <f t="shared" si="1"/>
        <v>1188.5</v>
      </c>
      <c r="G31" s="514">
        <f>IF($B31="x",('MKT2'!$D$36*1000)*(MKT!$H10/MKT!$H$23)*(F31/$E31)*CON!$B$62,"0")</f>
        <v>0.20533233892907654</v>
      </c>
      <c r="H31" s="513">
        <f t="shared" si="2"/>
        <v>2377</v>
      </c>
      <c r="I31" s="515">
        <f>IF($B31="x",('MKT2'!$E$36*1000)*(MKT!$H10/MKT!$H$23)*(H31/$E31)*CON!$C$62,"")</f>
        <v>1.5419740850061223</v>
      </c>
      <c r="J31" s="513">
        <f t="shared" si="3"/>
        <v>3565.5</v>
      </c>
      <c r="K31" s="515">
        <f>IF($B31="x",('MKT2'!$F$36*1000)*(MKT!$H10/MKT!$H$23)*(J31/$E31)*CON!$D$62,"")</f>
        <v>6.292208577643092</v>
      </c>
      <c r="L31" s="513">
        <f t="shared" si="4"/>
        <v>4754</v>
      </c>
      <c r="M31" s="515">
        <f>IF($B31="x",('MKT2'!$G$36*1000)*(MKT!$H10/MKT!$H$23)*(L31/$E31)*CON!$E$62,"")</f>
        <v>27.687915107833145</v>
      </c>
      <c r="N31" s="513">
        <f t="shared" si="5"/>
        <v>5942.5</v>
      </c>
      <c r="O31" s="515">
        <f>IF($B31="x",('MKT2'!$H$36*1000)*(MKT!$H10/MKT!$H$23)*(N31/$E31)*CON!$F$62,"")</f>
        <v>78.23974186598592</v>
      </c>
      <c r="P31" s="513">
        <f t="shared" si="6"/>
        <v>7131</v>
      </c>
      <c r="Q31" s="515">
        <f>IF($B31="x",('MKT2'!$I$36*1000)*(MKT!$H10/MKT!$H$23)*(P31/$E31)*CON!$G$62,"")</f>
        <v>114.49959506799721</v>
      </c>
      <c r="R31" s="513">
        <f t="shared" si="7"/>
        <v>8319.5</v>
      </c>
      <c r="S31" s="515">
        <f>IF($B31="x",('MKT2'!$J$36*1000)*(MKT!$H10/MKT!$H$23)*(R31/$E31)*CON!$H$62,"")</f>
        <v>160.45605359240508</v>
      </c>
      <c r="T31" s="513">
        <f t="shared" si="8"/>
        <v>9508</v>
      </c>
      <c r="U31" s="515">
        <f>IF($B31="x",('MKT2'!$K$36*1000)*(MKT!$H10/MKT!$H$23)*(T31/$E31)*CON!$I$62,"")</f>
        <v>196.18943022014122</v>
      </c>
      <c r="V31" s="513">
        <f t="shared" si="9"/>
        <v>10696.5</v>
      </c>
      <c r="W31" s="168">
        <f>IF($B31="x",('MKT2'!$L$36*1000)*(MKT!$H10/MKT!$H$23)*(V31/$E31)*CON!$J$62,"")</f>
        <v>236.13390752172896</v>
      </c>
      <c r="X31" s="513">
        <f t="shared" si="10"/>
        <v>11885</v>
      </c>
      <c r="Y31" s="168">
        <f>IF($B31="x",('MKT2'!$M$36*1000)*(MKT!$H10/MKT!$H$23)*(X31/$E31)*CON!$K$62,"")</f>
        <v>280.70400964386045</v>
      </c>
    </row>
    <row r="32" spans="1:29" x14ac:dyDescent="0.45">
      <c r="A32" s="336" t="str">
        <f>MKT!A11</f>
        <v>Northwest</v>
      </c>
      <c r="B32" s="510" t="str">
        <f>MKT!B11</f>
        <v>x</v>
      </c>
      <c r="C32" s="511">
        <f>IF(B32="x",MKT!C11*1000000/MKT!D11,"")</f>
        <v>516.86986107173232</v>
      </c>
      <c r="D32" s="512">
        <f>IF(B32="x",(MKT!E11*$B$20)+(MKT!F11*$C$20)+(MKT!G11*$D$20),"")</f>
        <v>0.46324111486499997</v>
      </c>
      <c r="E32" s="511">
        <f>IF(B32="x",ROUNDUP((MKT!D11*D32),0),"")</f>
        <v>6536</v>
      </c>
      <c r="F32" s="513">
        <f t="shared" si="1"/>
        <v>653.6</v>
      </c>
      <c r="G32" s="514">
        <f>IF($B32="x",('MKT2'!$D$36*1000)*(MKT!$H11/MKT!$H$23)*(F32/$E32)*CON!$B$62,"0")</f>
        <v>0.13682786959206836</v>
      </c>
      <c r="H32" s="513">
        <f t="shared" si="2"/>
        <v>1307.2</v>
      </c>
      <c r="I32" s="515">
        <f>IF($B32="x",('MKT2'!$E$36*1000)*(MKT!$H11/MKT!$H$23)*(H32/$E32)*CON!$C$62,"")</f>
        <v>1.0275294681683946</v>
      </c>
      <c r="J32" s="513">
        <f t="shared" si="3"/>
        <v>1960.8</v>
      </c>
      <c r="K32" s="515">
        <f>IF($B32="x",('MKT2'!$F$36*1000)*(MKT!$H11/MKT!$H$23)*(J32/$E32)*CON!$D$62,"")</f>
        <v>4.1929561568244829</v>
      </c>
      <c r="L32" s="513">
        <f t="shared" si="4"/>
        <v>2614.4</v>
      </c>
      <c r="M32" s="515">
        <f>IF($B32="x",('MKT2'!$G$36*1000)*(MKT!$H11/MKT!$H$23)*(L32/$E32)*CON!$E$62,"")</f>
        <v>18.450471354925849</v>
      </c>
      <c r="N32" s="513">
        <f t="shared" si="5"/>
        <v>3268</v>
      </c>
      <c r="O32" s="515">
        <f>IF($B32="x",('MKT2'!$H$36*1000)*(MKT!$H11/MKT!$H$23)*(N32/$E32)*CON!$F$62,"")</f>
        <v>52.136829750202857</v>
      </c>
      <c r="P32" s="513">
        <f t="shared" si="6"/>
        <v>3921.6</v>
      </c>
      <c r="Q32" s="515">
        <f>IF($B32="x",('MKT2'!$I$36*1000)*(MKT!$H11/MKT!$H$23)*(P32/$E32)*CON!$G$62,"")</f>
        <v>76.299406825146875</v>
      </c>
      <c r="R32" s="513">
        <f t="shared" si="7"/>
        <v>4575.2</v>
      </c>
      <c r="S32" s="515">
        <f>IF($B32="x",('MKT2'!$J$36*1000)*(MKT!$H11/MKT!$H$23)*(R32/$E32)*CON!$H$62,"")</f>
        <v>106.92353718224054</v>
      </c>
      <c r="T32" s="513">
        <f t="shared" si="8"/>
        <v>5228.8</v>
      </c>
      <c r="U32" s="515">
        <f>IF($B32="x",('MKT2'!$K$36*1000)*(MKT!$H11/MKT!$H$23)*(T32/$E32)*CON!$I$62,"")</f>
        <v>130.73528462935337</v>
      </c>
      <c r="V32" s="513">
        <f t="shared" si="9"/>
        <v>5882.4000000000005</v>
      </c>
      <c r="W32" s="168">
        <f>IF($B32="x",('MKT2'!$L$36*1000)*(MKT!$H11/MKT!$H$23)*(V32/$E32)*CON!$J$62,"")</f>
        <v>157.35319469481468</v>
      </c>
      <c r="X32" s="513">
        <f t="shared" si="10"/>
        <v>6536</v>
      </c>
      <c r="Y32" s="168">
        <f>IF($B32="x",('MKT2'!$M$36*1000)*(MKT!$H11/MKT!$H$23)*(X32/$E32)*CON!$K$62,"")</f>
        <v>187.05349496256073</v>
      </c>
    </row>
    <row r="33" spans="1:25" x14ac:dyDescent="0.45">
      <c r="A33" s="336" t="str">
        <f>MKT!A12</f>
        <v>East of England</v>
      </c>
      <c r="B33" s="510" t="str">
        <f>MKT!B12</f>
        <v>x</v>
      </c>
      <c r="C33" s="511">
        <f>IF(B33="x",MKT!C12*1000000/MKT!D12,"")</f>
        <v>324.3879472693032</v>
      </c>
      <c r="D33" s="512">
        <f>IF(B33="x",(MKT!E12*$B$20)+(MKT!F12*$C$20)+(MKT!G12*$D$20),"")</f>
        <v>0.36730295499420001</v>
      </c>
      <c r="E33" s="511">
        <f>IF(B33="x",ROUNDUP((MKT!D12*D33),0),"")</f>
        <v>7022</v>
      </c>
      <c r="F33" s="513">
        <f t="shared" si="1"/>
        <v>702.2</v>
      </c>
      <c r="G33" s="514">
        <f>IF($B33="x",('MKT2'!$D$36*1000)*(MKT!$H12/MKT!$H$23)*(F33/$E33)*CON!$B$62,"0")</f>
        <v>0.12299117391320569</v>
      </c>
      <c r="H33" s="513">
        <f t="shared" si="2"/>
        <v>1404.4</v>
      </c>
      <c r="I33" s="515">
        <f>IF($B33="x",('MKT2'!$E$36*1000)*(MKT!$H12/MKT!$H$23)*(H33/$E33)*CON!$C$62,"")</f>
        <v>0.92362072067055434</v>
      </c>
      <c r="J33" s="513">
        <f t="shared" si="3"/>
        <v>2106.6</v>
      </c>
      <c r="K33" s="515">
        <f>IF($B33="x",('MKT2'!$F$36*1000)*(MKT!$H12/MKT!$H$23)*(J33/$E33)*CON!$D$62,"")</f>
        <v>3.7689441590512085</v>
      </c>
      <c r="L33" s="513">
        <f t="shared" si="4"/>
        <v>2808.8</v>
      </c>
      <c r="M33" s="515">
        <f>IF($B33="x",('MKT2'!$G$36*1000)*(MKT!$H12/MKT!$H$23)*(L33/$E33)*CON!$E$62,"")</f>
        <v>16.584670491177832</v>
      </c>
      <c r="N33" s="513">
        <f t="shared" si="5"/>
        <v>3511</v>
      </c>
      <c r="O33" s="515">
        <f>IF($B33="x",('MKT2'!$H$36*1000)*(MKT!$H12/MKT!$H$23)*(N33/$E33)*CON!$F$62,"")</f>
        <v>46.864501466023761</v>
      </c>
      <c r="P33" s="513">
        <f t="shared" si="6"/>
        <v>4213.2</v>
      </c>
      <c r="Q33" s="515">
        <f>IF($B33="x",('MKT2'!$I$36*1000)*(MKT!$H12/MKT!$H$23)*(P33/$E33)*CON!$G$62,"")</f>
        <v>68.583641931161466</v>
      </c>
      <c r="R33" s="513">
        <f t="shared" si="7"/>
        <v>4915.3999999999996</v>
      </c>
      <c r="S33" s="515">
        <f>IF($B33="x",('MKT2'!$J$36*1000)*(MKT!$H12/MKT!$H$23)*(R33/$E33)*CON!$H$62,"")</f>
        <v>96.110912171641218</v>
      </c>
      <c r="T33" s="513">
        <f t="shared" si="8"/>
        <v>5617.6</v>
      </c>
      <c r="U33" s="515">
        <f>IF($B33="x",('MKT2'!$K$36*1000)*(MKT!$H12/MKT!$H$23)*(T33/$E33)*CON!$I$62,"")</f>
        <v>117.51470059702903</v>
      </c>
      <c r="V33" s="513">
        <f t="shared" si="9"/>
        <v>6319.8</v>
      </c>
      <c r="W33" s="168">
        <f>IF($B33="x",('MKT2'!$L$36*1000)*(MKT!$H12/MKT!$H$23)*(V33/$E33)*CON!$J$62,"")</f>
        <v>141.44087891017142</v>
      </c>
      <c r="X33" s="513">
        <f t="shared" si="10"/>
        <v>7022</v>
      </c>
      <c r="Y33" s="168">
        <f>IF($B33="x",('MKT2'!$M$36*1000)*(MKT!$H12/MKT!$H$23)*(X33/$E33)*CON!$K$62,"")</f>
        <v>168.13774122627177</v>
      </c>
    </row>
    <row r="34" spans="1:25" x14ac:dyDescent="0.45">
      <c r="A34" s="336" t="str">
        <f>MKT!A13</f>
        <v>West Midlands</v>
      </c>
      <c r="B34" s="510" t="str">
        <f>MKT!B13</f>
        <v>x</v>
      </c>
      <c r="C34" s="511">
        <f>IF(B34="x",MKT!C13*1000000/MKT!D13,"")</f>
        <v>453.99292198799816</v>
      </c>
      <c r="D34" s="512">
        <f>IF(B34="x",(MKT!E13*$B$20)+(MKT!F13*$C$20)+(MKT!G13*$D$20),"")</f>
        <v>0.46324111486499997</v>
      </c>
      <c r="E34" s="511">
        <f>IF(B34="x",ROUNDUP((MKT!D13*D34),0),"")</f>
        <v>6022</v>
      </c>
      <c r="F34" s="513">
        <f t="shared" si="1"/>
        <v>602.20000000000005</v>
      </c>
      <c r="G34" s="514">
        <f>IF($B34="x",('MKT2'!$D$36*1000)*(MKT!$H13/MKT!$H$23)*(F34/$E34)*CON!$B$62,"0")</f>
        <v>0.10542747296424589</v>
      </c>
      <c r="H34" s="513">
        <f t="shared" si="2"/>
        <v>1204.4000000000001</v>
      </c>
      <c r="I34" s="515">
        <f>IF($B34="x",('MKT2'!$E$36*1000)*(MKT!$H13/MKT!$H$23)*(H34/$E34)*CON!$C$62,"")</f>
        <v>0.79172346648572722</v>
      </c>
      <c r="J34" s="513">
        <f t="shared" si="3"/>
        <v>1806.6</v>
      </c>
      <c r="K34" s="515">
        <f>IF($B34="x",('MKT2'!$F$36*1000)*(MKT!$H13/MKT!$H$23)*(J34/$E34)*CON!$D$62,"")</f>
        <v>3.2307217322157764</v>
      </c>
      <c r="L34" s="513">
        <f t="shared" si="4"/>
        <v>2408.8000000000002</v>
      </c>
      <c r="M34" s="515">
        <f>IF($B34="x",('MKT2'!$G$36*1000)*(MKT!$H13/MKT!$H$23)*(L34/$E34)*CON!$E$62,"")</f>
        <v>14.216303854969885</v>
      </c>
      <c r="N34" s="513">
        <f t="shared" si="5"/>
        <v>3011</v>
      </c>
      <c r="O34" s="515">
        <f>IF($B34="x",('MKT2'!$H$36*1000)*(MKT!$H13/MKT!$H$23)*(N34/$E34)*CON!$F$62,"")</f>
        <v>40.17203677378334</v>
      </c>
      <c r="P34" s="513">
        <f t="shared" si="6"/>
        <v>3613.2</v>
      </c>
      <c r="Q34" s="515">
        <f>IF($B34="x",('MKT2'!$I$36*1000)*(MKT!$H13/MKT!$H$23)*(P34/$E34)*CON!$G$62,"")</f>
        <v>58.789584857443899</v>
      </c>
      <c r="R34" s="513">
        <f t="shared" si="7"/>
        <v>4215.3999999999996</v>
      </c>
      <c r="S34" s="515">
        <f>IF($B34="x",('MKT2'!$J$36*1000)*(MKT!$H13/MKT!$H$23)*(R34/$E34)*CON!$H$62,"")</f>
        <v>82.385835277052792</v>
      </c>
      <c r="T34" s="513">
        <f t="shared" si="8"/>
        <v>4817.6000000000004</v>
      </c>
      <c r="U34" s="515">
        <f>IF($B34="x",('MKT2'!$K$36*1000)*(MKT!$H13/MKT!$H$23)*(T34/$E34)*CON!$I$62,"")</f>
        <v>100.73306503146139</v>
      </c>
      <c r="V34" s="513">
        <f t="shared" si="9"/>
        <v>5419.8</v>
      </c>
      <c r="W34" s="168">
        <f>IF($B34="x",('MKT2'!$L$36*1000)*(MKT!$H13/MKT!$H$23)*(V34/$E34)*CON!$J$62,"")</f>
        <v>121.242475885826</v>
      </c>
      <c r="X34" s="513">
        <f t="shared" si="10"/>
        <v>6022</v>
      </c>
      <c r="Y34" s="168">
        <f>IF($B34="x",('MKT2'!$M$36*1000)*(MKT!$H13/MKT!$H$23)*(X34/$E34)*CON!$K$62,"")</f>
        <v>144.12690442252003</v>
      </c>
    </row>
    <row r="35" spans="1:25" x14ac:dyDescent="0.45">
      <c r="A35" s="336" t="str">
        <f>MKT!A14</f>
        <v>Southwest</v>
      </c>
      <c r="B35" s="510" t="str">
        <f>MKT!B14</f>
        <v>x</v>
      </c>
      <c r="C35" s="511">
        <f>IF(B35="x",MKT!C14*1000000/MKT!D14,"")</f>
        <v>234.89679476422219</v>
      </c>
      <c r="D35" s="512">
        <f>IF(B35="x",(MKT!E14*$B$20)+(MKT!F14*$C$20)+(MKT!G14*$D$20),"")</f>
        <v>0.14734717382699999</v>
      </c>
      <c r="E35" s="511">
        <f>IF(B35="x",ROUNDUP((MKT!D14*D35),0),"")</f>
        <v>3513</v>
      </c>
      <c r="F35" s="513">
        <f t="shared" si="1"/>
        <v>351.3</v>
      </c>
      <c r="G35" s="514">
        <f>IF($B35="x",('MKT2'!$D$36*1000)*(MKT!$H14/MKT!$H$23)*(F35/$E35)*CON!$B$62,"0")</f>
        <v>0.10428070211190828</v>
      </c>
      <c r="H35" s="513">
        <f t="shared" si="2"/>
        <v>702.6</v>
      </c>
      <c r="I35" s="515">
        <f>IF($B35="x",('MKT2'!$E$36*1000)*(MKT!$H14/MKT!$H$23)*(H35/$E35)*CON!$C$62,"")</f>
        <v>0.78311161827434661</v>
      </c>
      <c r="J35" s="513">
        <f t="shared" si="3"/>
        <v>1053.8999999999999</v>
      </c>
      <c r="K35" s="515">
        <f>IF($B35="x",('MKT2'!$F$36*1000)*(MKT!$H14/MKT!$H$23)*(J35/$E35)*CON!$D$62,"")</f>
        <v>3.1955800617351118</v>
      </c>
      <c r="L35" s="513">
        <f t="shared" si="4"/>
        <v>1405.2</v>
      </c>
      <c r="M35" s="515">
        <f>IF($B35="x",('MKT2'!$G$36*1000)*(MKT!$H14/MKT!$H$23)*(L35/$E35)*CON!$E$62,"")</f>
        <v>14.061668232674519</v>
      </c>
      <c r="N35" s="513">
        <f t="shared" si="5"/>
        <v>1756.5</v>
      </c>
      <c r="O35" s="515">
        <f>IF($B35="x",('MKT2'!$H$36*1000)*(MKT!$H14/MKT!$H$23)*(N35/$E35)*CON!$F$62,"")</f>
        <v>39.735071725149083</v>
      </c>
      <c r="P35" s="513">
        <f t="shared" si="6"/>
        <v>2107.7999999999997</v>
      </c>
      <c r="Q35" s="515">
        <f>IF($B35="x",('MKT2'!$I$36*1000)*(MKT!$H14/MKT!$H$23)*(P35/$E35)*CON!$G$62,"")</f>
        <v>58.15011034060322</v>
      </c>
      <c r="R35" s="513">
        <f t="shared" si="7"/>
        <v>2459.1</v>
      </c>
      <c r="S35" s="515">
        <f>IF($B35="x",('MKT2'!$J$36*1000)*(MKT!$H14/MKT!$H$23)*(R35/$E35)*CON!$H$62,"")</f>
        <v>81.489696235825349</v>
      </c>
      <c r="T35" s="513">
        <f t="shared" si="8"/>
        <v>2810.4</v>
      </c>
      <c r="U35" s="515">
        <f>IF($B35="x",('MKT2'!$K$36*1000)*(MKT!$H14/MKT!$H$23)*(T35/$E35)*CON!$I$62,"")</f>
        <v>99.637356867386529</v>
      </c>
      <c r="V35" s="513">
        <f t="shared" si="9"/>
        <v>3161.7000000000003</v>
      </c>
      <c r="W35" s="168">
        <f>IF($B35="x",('MKT2'!$L$36*1000)*(MKT!$H14/MKT!$H$23)*(V35/$E35)*CON!$J$62,"")</f>
        <v>119.92367981207147</v>
      </c>
      <c r="X35" s="513">
        <f t="shared" si="10"/>
        <v>3513</v>
      </c>
      <c r="Y35" s="168">
        <f>IF($B35="x",('MKT2'!$M$36*1000)*(MKT!$H14/MKT!$H$23)*(X35/$E35)*CON!$K$62,"")</f>
        <v>142.55918655560839</v>
      </c>
    </row>
    <row r="36" spans="1:25" x14ac:dyDescent="0.45">
      <c r="A36" s="336" t="str">
        <f>MKT!A15</f>
        <v>Yorkshire/Humber</v>
      </c>
      <c r="B36" s="510" t="str">
        <f>MKT!B15</f>
        <v>x</v>
      </c>
      <c r="C36" s="511">
        <f>IF(B36="x",MKT!C15*1000000/MKT!D15,"")</f>
        <v>355.7286595261279</v>
      </c>
      <c r="D36" s="512">
        <f>IF(B36="x",(MKT!E15*$B$20)+(MKT!F15*$C$20)+(MKT!G15*$D$20),"")</f>
        <v>0.36730295499420001</v>
      </c>
      <c r="E36" s="511">
        <f>IF(B36="x",ROUNDUP((MKT!D15*D36),0),"")</f>
        <v>5659</v>
      </c>
      <c r="F36" s="513">
        <f t="shared" si="1"/>
        <v>565.9</v>
      </c>
      <c r="G36" s="514">
        <f>IF($B36="x",('MKT2'!$D$36*1000)*(MKT!$H15/MKT!$H$23)*(F36/$E36)*CON!$B$62,"0")</f>
        <v>9.3461824465512933E-2</v>
      </c>
      <c r="H36" s="513">
        <f t="shared" si="2"/>
        <v>1131.8</v>
      </c>
      <c r="I36" s="515">
        <f>IF($B36="x",('MKT2'!$E$36*1000)*(MKT!$H15/MKT!$H$23)*(H36/$E36)*CON!$C$62,"")</f>
        <v>0.70186562922750728</v>
      </c>
      <c r="J36" s="513">
        <f t="shared" si="3"/>
        <v>1697.7</v>
      </c>
      <c r="K36" s="515">
        <f>IF($B36="x",('MKT2'!$F$36*1000)*(MKT!$H15/MKT!$H$23)*(J36/$E36)*CON!$D$62,"")</f>
        <v>2.8640461441741114</v>
      </c>
      <c r="L36" s="513">
        <f t="shared" si="4"/>
        <v>2263.6</v>
      </c>
      <c r="M36" s="515">
        <f>IF($B36="x",('MKT2'!$G$36*1000)*(MKT!$H15/MKT!$H$23)*(L36/$E36)*CON!$E$62,"")</f>
        <v>12.6028032170722</v>
      </c>
      <c r="N36" s="513">
        <f t="shared" si="5"/>
        <v>2829.5</v>
      </c>
      <c r="O36" s="515">
        <f>IF($B36="x",('MKT2'!$H$36*1000)*(MKT!$H15/MKT!$H$23)*(N36/$E36)*CON!$F$62,"")</f>
        <v>35.612651463691712</v>
      </c>
      <c r="P36" s="513">
        <f t="shared" si="6"/>
        <v>3395.4</v>
      </c>
      <c r="Q36" s="515">
        <f>IF($B36="x",('MKT2'!$I$36*1000)*(MKT!$H15/MKT!$H$23)*(P36/$E36)*CON!$G$62,"")</f>
        <v>52.117173122514309</v>
      </c>
      <c r="R36" s="513">
        <f t="shared" si="7"/>
        <v>3961.2999999999997</v>
      </c>
      <c r="S36" s="515">
        <f>IF($B36="x",('MKT2'!$J$36*1000)*(MKT!$H15/MKT!$H$23)*(R36/$E36)*CON!$H$62,"")</f>
        <v>73.035331860035058</v>
      </c>
      <c r="T36" s="513">
        <f t="shared" si="8"/>
        <v>4527.2</v>
      </c>
      <c r="U36" s="515">
        <f>IF($B36="x",('MKT2'!$K$36*1000)*(MKT!$H15/MKT!$H$23)*(T36/$E36)*CON!$I$62,"")</f>
        <v>89.300215372101306</v>
      </c>
      <c r="V36" s="513">
        <f t="shared" si="9"/>
        <v>5093.1000000000004</v>
      </c>
      <c r="W36" s="168">
        <f>IF($B36="x",('MKT2'!$L$36*1000)*(MKT!$H15/MKT!$H$23)*(V36/$E36)*CON!$J$62,"")</f>
        <v>107.48188001099273</v>
      </c>
      <c r="X36" s="513">
        <f t="shared" si="10"/>
        <v>5659</v>
      </c>
      <c r="Y36" s="168">
        <f>IF($B36="x",('MKT2'!$M$36*1000)*(MKT!$H15/MKT!$H$23)*(X36/$E36)*CON!$K$62,"")</f>
        <v>127.76900615329741</v>
      </c>
    </row>
    <row r="37" spans="1:25" x14ac:dyDescent="0.45">
      <c r="A37" s="336" t="str">
        <f>MKT!A16</f>
        <v>East Midlands</v>
      </c>
      <c r="B37" s="510" t="str">
        <f>MKT!B16</f>
        <v>x</v>
      </c>
      <c r="C37" s="511">
        <f>IF(B37="x",MKT!C16*1000000/MKT!D16,"")</f>
        <v>307.45600000000002</v>
      </c>
      <c r="D37" s="512">
        <f>IF(B37="x",(MKT!E16*$B$20)+(MKT!F16*$C$20)+(MKT!G16*$D$20),"")</f>
        <v>0.36730295499420001</v>
      </c>
      <c r="E37" s="511">
        <f>IF(B37="x",ROUNDUP((MKT!D16*D37),0),"")</f>
        <v>5740</v>
      </c>
      <c r="F37" s="513">
        <f t="shared" si="1"/>
        <v>574</v>
      </c>
      <c r="G37" s="514">
        <f>IF($B37="x",('MKT2'!$D$36*1000)*(MKT!$H16/MKT!$H$23)*(F37/$E37)*CON!$B$62,"0")</f>
        <v>8.2220452294572186E-2</v>
      </c>
      <c r="H37" s="513">
        <f t="shared" si="2"/>
        <v>1148</v>
      </c>
      <c r="I37" s="515">
        <f>IF($B37="x",('MKT2'!$E$36*1000)*(MKT!$H16/MKT!$H$23)*(H37/$E37)*CON!$C$62,"")</f>
        <v>0.61744685399752797</v>
      </c>
      <c r="J37" s="513">
        <f t="shared" si="3"/>
        <v>1722</v>
      </c>
      <c r="K37" s="515">
        <f>IF($B37="x",('MKT2'!$F$36*1000)*(MKT!$H16/MKT!$H$23)*(J37/$E37)*CON!$D$62,"")</f>
        <v>2.5195652953833925</v>
      </c>
      <c r="L37" s="513">
        <f t="shared" si="4"/>
        <v>2296</v>
      </c>
      <c r="M37" s="515">
        <f>IF($B37="x",('MKT2'!$G$36*1000)*(MKT!$H16/MKT!$H$23)*(L37/$E37)*CON!$E$62,"")</f>
        <v>11.086967182729484</v>
      </c>
      <c r="N37" s="513">
        <f t="shared" si="5"/>
        <v>2870</v>
      </c>
      <c r="O37" s="515">
        <f>IF($B37="x",('MKT2'!$H$36*1000)*(MKT!$H16/MKT!$H$23)*(N37/$E37)*CON!$F$62,"")</f>
        <v>31.3292440790533</v>
      </c>
      <c r="P37" s="513">
        <f t="shared" si="6"/>
        <v>3444</v>
      </c>
      <c r="Q37" s="515">
        <f>IF($B37="x",('MKT2'!$I$36*1000)*(MKT!$H16/MKT!$H$23)*(P37/$E37)*CON!$G$62,"")</f>
        <v>45.848640029799881</v>
      </c>
      <c r="R37" s="513">
        <f t="shared" si="7"/>
        <v>4017.9999999999995</v>
      </c>
      <c r="S37" s="515">
        <f>IF($B37="x",('MKT2'!$J$36*1000)*(MKT!$H16/MKT!$H$23)*(R37/$E37)*CON!$H$62,"")</f>
        <v>64.250810995371495</v>
      </c>
      <c r="T37" s="513">
        <f t="shared" si="8"/>
        <v>4592</v>
      </c>
      <c r="U37" s="515">
        <f>IF($B37="x",('MKT2'!$K$36*1000)*(MKT!$H16/MKT!$H$23)*(T37/$E37)*CON!$I$62,"")</f>
        <v>78.559391921630635</v>
      </c>
      <c r="V37" s="513">
        <f t="shared" si="9"/>
        <v>5166</v>
      </c>
      <c r="W37" s="168">
        <f>IF($B37="x",('MKT2'!$L$36*1000)*(MKT!$H16/MKT!$H$23)*(V37/$E37)*CON!$J$62,"")</f>
        <v>94.554207972214954</v>
      </c>
      <c r="X37" s="513">
        <f t="shared" si="10"/>
        <v>5740</v>
      </c>
      <c r="Y37" s="168">
        <f>IF($B37="x",('MKT2'!$M$36*1000)*(MKT!$H16/MKT!$H$23)*(X37/$E37)*CON!$K$62,"")</f>
        <v>112.40124548422953</v>
      </c>
    </row>
    <row r="38" spans="1:25" x14ac:dyDescent="0.45">
      <c r="A38" s="336" t="str">
        <f>MKT!A17</f>
        <v>North East</v>
      </c>
      <c r="B38" s="510" t="str">
        <f>MKT!B17</f>
        <v>x</v>
      </c>
      <c r="C38" s="511">
        <f>IF(B38="x",MKT!C17*1000000/MKT!D17,"")</f>
        <v>309.82632008392585</v>
      </c>
      <c r="D38" s="512">
        <f>IF(B38="x",(MKT!E17*$B$20)+(MKT!F17*$C$20)+(MKT!G17*$D$20),"")</f>
        <v>0.46324111486499997</v>
      </c>
      <c r="E38" s="511">
        <f>IF(B38="x",ROUNDUP((MKT!D17*D38),0),"")</f>
        <v>3975</v>
      </c>
      <c r="F38" s="513">
        <f t="shared" si="1"/>
        <v>397.5</v>
      </c>
      <c r="G38" s="514">
        <f>IF($B38="x",('MKT2'!$D$36*1000)*(MKT!$H17/MKT!$H$23)*(F38/$E38)*CON!$B$62,"0")</f>
        <v>4.1313928864477628E-2</v>
      </c>
      <c r="H38" s="513">
        <f t="shared" si="2"/>
        <v>795</v>
      </c>
      <c r="I38" s="515">
        <f>IF($B38="x",('MKT2'!$E$36*1000)*(MKT!$H17/MKT!$H$23)*(H38/$E38)*CON!$C$62,"")</f>
        <v>0.31025316319420654</v>
      </c>
      <c r="J38" s="513">
        <f t="shared" si="3"/>
        <v>1192.5</v>
      </c>
      <c r="K38" s="515">
        <f>IF($B38="x",('MKT2'!$F$36*1000)*(MKT!$H17/MKT!$H$23)*(J38/$E38)*CON!$D$62,"")</f>
        <v>1.2660249181060248</v>
      </c>
      <c r="L38" s="513">
        <f t="shared" si="4"/>
        <v>1590</v>
      </c>
      <c r="M38" s="515">
        <f>IF($B38="x",('MKT2'!$G$36*1000)*(MKT!$H17/MKT!$H$23)*(L38/$E38)*CON!$E$62,"")</f>
        <v>5.5709517611145758</v>
      </c>
      <c r="N38" s="513">
        <f t="shared" si="5"/>
        <v>1987.5</v>
      </c>
      <c r="O38" s="515">
        <f>IF($B38="x",('MKT2'!$H$36*1000)*(MKT!$H17/MKT!$H$23)*(N38/$E38)*CON!$F$62,"")</f>
        <v>15.742240831060364</v>
      </c>
      <c r="P38" s="513">
        <f t="shared" si="6"/>
        <v>2385</v>
      </c>
      <c r="Q38" s="515">
        <f>IF($B38="x",('MKT2'!$I$36*1000)*(MKT!$H17/MKT!$H$23)*(P38/$E38)*CON!$G$62,"")</f>
        <v>23.037910883022953</v>
      </c>
      <c r="R38" s="513">
        <f t="shared" si="7"/>
        <v>2782.5</v>
      </c>
      <c r="S38" s="515">
        <f>IF($B38="x",('MKT2'!$J$36*1000)*(MKT!$H17/MKT!$H$23)*(R38/$E38)*CON!$H$62,"")</f>
        <v>32.284588090535358</v>
      </c>
      <c r="T38" s="513">
        <f t="shared" si="8"/>
        <v>3180</v>
      </c>
      <c r="U38" s="515">
        <f>IF($B38="x",('MKT2'!$K$36*1000)*(MKT!$H17/MKT!$H$23)*(T38/$E38)*CON!$I$62,"")</f>
        <v>39.474328332065447</v>
      </c>
      <c r="V38" s="513">
        <f t="shared" si="9"/>
        <v>3577.5</v>
      </c>
      <c r="W38" s="168">
        <f>IF($B38="x",('MKT2'!$L$36*1000)*(MKT!$H17/MKT!$H$23)*(V38/$E38)*CON!$J$62,"")</f>
        <v>47.511363814998077</v>
      </c>
      <c r="X38" s="513">
        <f t="shared" si="10"/>
        <v>3975</v>
      </c>
      <c r="Y38" s="168">
        <f>IF($B38="x",('MKT2'!$M$36*1000)*(MKT!$H17/MKT!$H$23)*(X38/$E38)*CON!$K$62,"")</f>
        <v>56.479098942158274</v>
      </c>
    </row>
    <row r="39" spans="1:25" x14ac:dyDescent="0.45">
      <c r="A39" s="336" t="str">
        <f>MKT!A18</f>
        <v>Scotland</v>
      </c>
      <c r="B39" s="510" t="str">
        <f>MKT!B18</f>
        <v>x</v>
      </c>
      <c r="C39" s="511">
        <f>IF(B39="x",MKT!C18*1000000/MKT!D18,"")</f>
        <v>69.034682374447769</v>
      </c>
      <c r="D39" s="512">
        <f>IF(B39="x",(MKT!E18*$B$20)+(MKT!F18*$C$20)+(MKT!G18*$D$20),"")</f>
        <v>6.0573838171499993E-2</v>
      </c>
      <c r="E39" s="511">
        <f>IF(B39="x",ROUNDUP((MKT!D18*D39),0),"")</f>
        <v>4772</v>
      </c>
      <c r="F39" s="513">
        <f t="shared" si="1"/>
        <v>477.20000000000005</v>
      </c>
      <c r="G39" s="514">
        <f>IF($B39="x",('MKT2'!$D$36*1000)*(MKT!$H18/MKT!$H$23)*(F39/$E39)*CON!$B$62,"0")</f>
        <v>0.10639317473463543</v>
      </c>
      <c r="H39" s="513">
        <f t="shared" si="2"/>
        <v>954.40000000000009</v>
      </c>
      <c r="I39" s="515">
        <f>IF($B39="x",('MKT2'!$E$36*1000)*(MKT!$H18/MKT!$H$23)*(H39/$E39)*CON!$C$62,"")</f>
        <v>0.79897554919004754</v>
      </c>
      <c r="J39" s="513">
        <f t="shared" si="3"/>
        <v>1431.6</v>
      </c>
      <c r="K39" s="515">
        <f>IF($B39="x",('MKT2'!$F$36*1000)*(MKT!$H18/MKT!$H$23)*(J39/$E39)*CON!$D$62,"")</f>
        <v>3.2603147178837038</v>
      </c>
      <c r="L39" s="513">
        <f t="shared" si="4"/>
        <v>1908.8000000000002</v>
      </c>
      <c r="M39" s="515">
        <f>IF($B39="x",('MKT2'!$G$36*1000)*(MKT!$H18/MKT!$H$23)*(L39/$E39)*CON!$E$62,"")</f>
        <v>14.346523326376508</v>
      </c>
      <c r="N39" s="513">
        <f t="shared" si="5"/>
        <v>2386</v>
      </c>
      <c r="O39" s="515">
        <f>IF($B39="x",('MKT2'!$H$36*1000)*(MKT!$H18/MKT!$H$23)*(N39/$E39)*CON!$F$62,"")</f>
        <v>40.540007341054284</v>
      </c>
      <c r="P39" s="513">
        <f t="shared" si="6"/>
        <v>2863.2</v>
      </c>
      <c r="Q39" s="515">
        <f>IF($B39="x",('MKT2'!$I$36*1000)*(MKT!$H18/MKT!$H$23)*(P39/$E39)*CON!$G$62,"")</f>
        <v>59.328089713730762</v>
      </c>
      <c r="R39" s="513">
        <f t="shared" si="7"/>
        <v>3340.3999999999996</v>
      </c>
      <c r="S39" s="515">
        <f>IF($B39="x",('MKT2'!$J$36*1000)*(MKT!$H18/MKT!$H$23)*(R39/$E39)*CON!$H$62,"")</f>
        <v>83.140478680191677</v>
      </c>
      <c r="T39" s="513">
        <f t="shared" si="8"/>
        <v>3817.6000000000004</v>
      </c>
      <c r="U39" s="515">
        <f>IF($B39="x",('MKT2'!$K$36*1000)*(MKT!$H18/MKT!$H$23)*(T39/$E39)*CON!$I$62,"")</f>
        <v>101.65576664331391</v>
      </c>
      <c r="V39" s="513">
        <f t="shared" si="9"/>
        <v>4294.8</v>
      </c>
      <c r="W39" s="168">
        <f>IF($B39="x",('MKT2'!$L$36*1000)*(MKT!$H18/MKT!$H$23)*(V39/$E39)*CON!$J$62,"")</f>
        <v>122.35304100056665</v>
      </c>
      <c r="X39" s="513">
        <f t="shared" si="10"/>
        <v>4772</v>
      </c>
      <c r="Y39" s="168">
        <f>IF($B39="x",('MKT2'!$M$36*1000)*(MKT!$H18/MKT!$H$23)*(X39/$E39)*CON!$K$62,"")</f>
        <v>145.44708788939298</v>
      </c>
    </row>
    <row r="40" spans="1:25" x14ac:dyDescent="0.45">
      <c r="A40" s="336" t="str">
        <f>MKT!A19</f>
        <v>Wales</v>
      </c>
      <c r="B40" s="510" t="str">
        <f>MKT!B19</f>
        <v>x</v>
      </c>
      <c r="C40" s="511">
        <f>IF(B40="x",MKT!C19*1000000/MKT!D19,"")</f>
        <v>151.0659800760383</v>
      </c>
      <c r="D40" s="512">
        <f>IF(B40="x",(MKT!E19*$B$20)+(MKT!F19*$C$20)+(MKT!G19*$D$20),"")</f>
        <v>6.0573838171499993E-2</v>
      </c>
      <c r="E40" s="511">
        <f>IF(B40="x",ROUNDUP((MKT!D19*D40),0),"")</f>
        <v>1259</v>
      </c>
      <c r="F40" s="513">
        <f t="shared" si="1"/>
        <v>125.9</v>
      </c>
      <c r="G40" s="514">
        <f>IF($B40="x",('MKT2'!$D$36*1000)*(MKT!$H19/MKT!$H$23)*(F40/$E40)*CON!$B$62,"0")</f>
        <v>4.9416770281652388E-2</v>
      </c>
      <c r="H40" s="513">
        <f t="shared" si="2"/>
        <v>251.8</v>
      </c>
      <c r="I40" s="515">
        <f>IF($B40="x",('MKT2'!$E$36*1000)*(MKT!$H19/MKT!$H$23)*(H40/$E40)*CON!$C$62,"")</f>
        <v>0.37110266963514477</v>
      </c>
      <c r="J40" s="513">
        <f t="shared" si="3"/>
        <v>377.7</v>
      </c>
      <c r="K40" s="515">
        <f>IF($B40="x",('MKT2'!$F$36*1000)*(MKT!$H19/MKT!$H$23)*(J40/$E40)*CON!$D$62,"")</f>
        <v>1.5143285634759793</v>
      </c>
      <c r="L40" s="513">
        <f t="shared" si="4"/>
        <v>503.6</v>
      </c>
      <c r="M40" s="515">
        <f>IF($B40="x",('MKT2'!$G$36*1000)*(MKT!$H19/MKT!$H$23)*(L40/$E40)*CON!$E$62,"")</f>
        <v>6.6635745133857691</v>
      </c>
      <c r="N40" s="513">
        <f t="shared" si="5"/>
        <v>629.5</v>
      </c>
      <c r="O40" s="515">
        <f>IF($B40="x",('MKT2'!$H$36*1000)*(MKT!$H19/MKT!$H$23)*(N40/$E40)*CON!$F$62,"")</f>
        <v>18.829743872068189</v>
      </c>
      <c r="P40" s="513">
        <f t="shared" si="6"/>
        <v>755.4</v>
      </c>
      <c r="Q40" s="515">
        <f>IF($B40="x",('MKT2'!$I$36*1000)*(MKT!$H19/MKT!$H$23)*(P40/$E40)*CON!$G$62,"")</f>
        <v>27.556303192805032</v>
      </c>
      <c r="R40" s="513">
        <f t="shared" si="7"/>
        <v>881.3</v>
      </c>
      <c r="S40" s="515">
        <f>IF($B40="x",('MKT2'!$J$36*1000)*(MKT!$H19/MKT!$H$23)*(R40/$E40)*CON!$H$62,"")</f>
        <v>38.61651789499755</v>
      </c>
      <c r="T40" s="513">
        <f t="shared" si="8"/>
        <v>1007.2</v>
      </c>
      <c r="U40" s="515">
        <f>IF($B40="x",('MKT2'!$K$36*1000)*(MKT!$H19/MKT!$H$23)*(T40/$E40)*CON!$I$62,"")</f>
        <v>47.216371544015466</v>
      </c>
      <c r="V40" s="513">
        <f t="shared" si="9"/>
        <v>1133.1000000000001</v>
      </c>
      <c r="W40" s="168">
        <f>IF($B40="x",('MKT2'!$L$36*1000)*(MKT!$H19/MKT!$H$23)*(V40/$E40)*CON!$J$62,"")</f>
        <v>56.82969923086879</v>
      </c>
      <c r="X40" s="513">
        <f t="shared" si="10"/>
        <v>1259</v>
      </c>
      <c r="Y40" s="168">
        <f>IF($B40="x",('MKT2'!$M$36*1000)*(MKT!$H19/MKT!$H$23)*(X40/$E40)*CON!$K$62,"")</f>
        <v>67.5562633438891</v>
      </c>
    </row>
    <row r="41" spans="1:25" x14ac:dyDescent="0.45">
      <c r="A41" s="336" t="str">
        <f>MKT!A20</f>
        <v>Northern Ireland</v>
      </c>
      <c r="B41" s="510" t="str">
        <f>MKT!B20</f>
        <v>x</v>
      </c>
      <c r="C41" s="511">
        <f>IF(B41="x",MKT!C20*1000000/MKT!D20,"")</f>
        <v>132.90960451977401</v>
      </c>
      <c r="D41" s="512">
        <f>IF(B41="x",(MKT!E20*$B$20)+(MKT!F20*$C$20)+(MKT!G20*$D$20),"")</f>
        <v>0.24094537857900003</v>
      </c>
      <c r="E41" s="511">
        <f>IF(B41="x",ROUNDUP((MKT!D20*D41),0),"")</f>
        <v>3412</v>
      </c>
      <c r="F41" s="513">
        <f t="shared" si="1"/>
        <v>341.20000000000005</v>
      </c>
      <c r="G41" s="514">
        <f>IF($B41="x",('MKT2'!$D$36*1000)*(MKT!$H20/MKT!$H$23)*(F41/$E41)*CON!$B$62,"0")</f>
        <v>3.2245385676913339E-2</v>
      </c>
      <c r="H41" s="513">
        <f t="shared" si="2"/>
        <v>682.40000000000009</v>
      </c>
      <c r="I41" s="515">
        <f>IF($B41="x",('MKT2'!$E$36*1000)*(MKT!$H20/MKT!$H$23)*(H41/$E41)*CON!$C$62,"")</f>
        <v>0.24215157404894794</v>
      </c>
      <c r="J41" s="513">
        <f t="shared" si="3"/>
        <v>1023.5999999999999</v>
      </c>
      <c r="K41" s="515">
        <f>IF($B41="x",('MKT2'!$F$36*1000)*(MKT!$H20/MKT!$H$23)*(J41/$E41)*CON!$D$62,"")</f>
        <v>0.98812828706814282</v>
      </c>
      <c r="L41" s="513">
        <f t="shared" si="4"/>
        <v>1364.8000000000002</v>
      </c>
      <c r="M41" s="515">
        <f>IF($B41="x",('MKT2'!$G$36*1000)*(MKT!$H20/MKT!$H$23)*(L41/$E41)*CON!$E$62,"")</f>
        <v>4.3481095374367609</v>
      </c>
      <c r="N41" s="513">
        <f t="shared" si="5"/>
        <v>1706</v>
      </c>
      <c r="O41" s="515">
        <f>IF($B41="x",('MKT2'!$H$36*1000)*(MKT!$H20/MKT!$H$23)*(N41/$E41)*CON!$F$62,"")</f>
        <v>12.286767222781593</v>
      </c>
      <c r="P41" s="513">
        <f t="shared" si="6"/>
        <v>2047.1999999999998</v>
      </c>
      <c r="Q41" s="515">
        <f>IF($B41="x",('MKT2'!$I$36*1000)*(MKT!$H20/MKT!$H$23)*(P41/$E41)*CON!$G$62,"")</f>
        <v>17.981013716953999</v>
      </c>
      <c r="R41" s="513">
        <f t="shared" si="7"/>
        <v>2388.3999999999996</v>
      </c>
      <c r="S41" s="515">
        <f>IF($B41="x",('MKT2'!$J$36*1000)*(MKT!$H20/MKT!$H$23)*(R41/$E41)*CON!$H$62,"")</f>
        <v>25.198014882934274</v>
      </c>
      <c r="T41" s="513">
        <f t="shared" si="8"/>
        <v>2729.6000000000004</v>
      </c>
      <c r="U41" s="515">
        <f>IF($B41="x",('MKT2'!$K$36*1000)*(MKT!$H20/MKT!$H$23)*(T41/$E41)*CON!$I$62,"")</f>
        <v>30.809583508262925</v>
      </c>
      <c r="V41" s="513">
        <f t="shared" si="9"/>
        <v>3070.8</v>
      </c>
      <c r="W41" s="168">
        <f>IF($B41="x",('MKT2'!$L$36*1000)*(MKT!$H20/MKT!$H$23)*(V41/$E41)*CON!$J$62,"")</f>
        <v>37.082463284386741</v>
      </c>
      <c r="X41" s="513">
        <f t="shared" si="10"/>
        <v>3412</v>
      </c>
      <c r="Y41" s="168">
        <f>IF($B41="x",('MKT2'!$M$36*1000)*(MKT!$H20/MKT!$H$23)*(X41/$E41)*CON!$K$62,"")</f>
        <v>44.081751073554507</v>
      </c>
    </row>
    <row r="42" spans="1:25" x14ac:dyDescent="0.45">
      <c r="A42" s="336" t="str">
        <f>MKT!A21</f>
        <v xml:space="preserve"> </v>
      </c>
      <c r="B42" s="510">
        <f>MKT!B21</f>
        <v>0</v>
      </c>
      <c r="C42" s="511" t="str">
        <f>IF(B42="x",MKT!C21*1000000/MKT!D21,"")</f>
        <v/>
      </c>
      <c r="D42" s="512" t="str">
        <f>IF(B42="x",(MKT!E21*$B$20)+(MKT!F21*$C$20)+(MKT!G21*$D$20),"")</f>
        <v/>
      </c>
      <c r="E42" s="511" t="str">
        <f>IF(B42="x",ROUNDUP((MKT!D21*D42),0),"")</f>
        <v/>
      </c>
      <c r="F42" s="513" t="str">
        <f t="shared" si="1"/>
        <v>0</v>
      </c>
      <c r="G42" s="514" t="str">
        <f>IF($B42="x",('MKT2'!$D$36*1000)*(MKT!$H21/MKT!$H$23)*(F42/$E42)*CON!$B$62,"0")</f>
        <v>0</v>
      </c>
      <c r="H42" s="513" t="str">
        <f t="shared" si="2"/>
        <v>0</v>
      </c>
      <c r="I42" s="515" t="str">
        <f>IF($B42="x",('MKT2'!$E$36*1000)*(MKT!$H21/MKT!$H$23)*(H42/$E42)*CON!$C$62,"")</f>
        <v/>
      </c>
      <c r="J42" s="513" t="str">
        <f t="shared" si="3"/>
        <v>0</v>
      </c>
      <c r="K42" s="515" t="str">
        <f>IF($B42="x",('MKT2'!$F$36*1000)*(MKT!$H21/MKT!$H$23)*(J42/$E42)*CON!$D$62,"")</f>
        <v/>
      </c>
      <c r="L42" s="513" t="str">
        <f t="shared" si="4"/>
        <v>0</v>
      </c>
      <c r="M42" s="515" t="str">
        <f>IF($B42="x",('MKT2'!$G$36*1000)*(MKT!$H21/MKT!$H$23)*(L42/$E42)*CON!$E$62,"")</f>
        <v/>
      </c>
      <c r="N42" s="513" t="str">
        <f t="shared" si="5"/>
        <v>0</v>
      </c>
      <c r="O42" s="515" t="str">
        <f>IF($B42="x",('MKT2'!$H$36*1000)*(MKT!$H21/MKT!$H$23)*(N42/$E42)*CON!$F$62,"")</f>
        <v/>
      </c>
      <c r="P42" s="513" t="str">
        <f t="shared" si="6"/>
        <v>0</v>
      </c>
      <c r="Q42" s="515" t="str">
        <f>IF($B42="x",('MKT2'!$I$36*1000)*(MKT!$H21/MKT!$H$23)*(P42/$E42)*CON!$G$62,"")</f>
        <v/>
      </c>
      <c r="R42" s="513" t="str">
        <f t="shared" si="7"/>
        <v>0</v>
      </c>
      <c r="S42" s="515" t="str">
        <f>IF($B42="x",('MKT2'!$J$36*1000)*(MKT!$H21/MKT!$H$23)*(R42/$E42)*CON!$H$62,"")</f>
        <v/>
      </c>
      <c r="T42" s="513" t="str">
        <f t="shared" si="8"/>
        <v>0</v>
      </c>
      <c r="U42" s="515" t="str">
        <f>IF($B42="x",('MKT2'!$K$36*1000)*(MKT!$H21/MKT!$H$23)*(T42/$E42)*CON!$I$62,"")</f>
        <v/>
      </c>
      <c r="V42" s="513" t="str">
        <f t="shared" si="9"/>
        <v>0</v>
      </c>
      <c r="W42" s="168" t="str">
        <f>IF($B42="x",('MKT2'!$L$36*1000)*(MKT!$H21/MKT!$H$23)*(V42/$E42)*CON!$J$62,"")</f>
        <v/>
      </c>
      <c r="X42" s="513" t="str">
        <f t="shared" si="10"/>
        <v>0</v>
      </c>
      <c r="Y42" s="168" t="str">
        <f>IF($B42="x",('MKT2'!$M$36*1000)*(MKT!$H21/MKT!$H$23)*(X42/$E42)*CON!$K$62,"")</f>
        <v/>
      </c>
    </row>
    <row r="43" spans="1:25" x14ac:dyDescent="0.45">
      <c r="A43" s="336" t="str">
        <f>MKT!A22</f>
        <v xml:space="preserve"> </v>
      </c>
      <c r="B43" s="510">
        <f>MKT!B22</f>
        <v>0</v>
      </c>
      <c r="C43" s="511" t="str">
        <f>IF(B43="x",MKT!C22*1000000/MKT!D22,"")</f>
        <v/>
      </c>
      <c r="D43" s="512" t="str">
        <f>IF(B43="x",(MKT!E22*$B$20)+(MKT!F22*$C$20)+(MKT!G22*$D$20),"")</f>
        <v/>
      </c>
      <c r="E43" s="511" t="str">
        <f>IF(B43="x",ROUNDUP((MKT!D22*D43),0),"")</f>
        <v/>
      </c>
      <c r="F43" s="513" t="str">
        <f t="shared" si="1"/>
        <v>0</v>
      </c>
      <c r="G43" s="514" t="str">
        <f>IF($B43="x",('MKT2'!$D$36*1000)*(MKT!$H22/MKT!$H$23)*(F43/$E43)*CON!$B$62,"0")</f>
        <v>0</v>
      </c>
      <c r="H43" s="513" t="str">
        <f t="shared" si="2"/>
        <v>0</v>
      </c>
      <c r="I43" s="515" t="str">
        <f>IF($B43="x",('MKT2'!$E$36*1000)*(MKT!$H22/MKT!$H$23)*(H43/$E43)*CON!$C$62,"")</f>
        <v/>
      </c>
      <c r="J43" s="513" t="str">
        <f t="shared" si="3"/>
        <v>0</v>
      </c>
      <c r="K43" s="515" t="str">
        <f>IF($B43="x",('MKT2'!$F$36*1000)*(MKT!$H22/MKT!$H$23)*(J43/$E43)*CON!$D$62,"")</f>
        <v/>
      </c>
      <c r="L43" s="513" t="str">
        <f t="shared" si="4"/>
        <v>0</v>
      </c>
      <c r="M43" s="515" t="str">
        <f>IF($B43="x",('MKT2'!$G$36*1000)*(MKT!$H22/MKT!$H$23)*(L43/$E43)*CON!$E$62,"")</f>
        <v/>
      </c>
      <c r="N43" s="513" t="str">
        <f t="shared" si="5"/>
        <v>0</v>
      </c>
      <c r="O43" s="515" t="str">
        <f>IF($B43="x",('MKT2'!$H$36*1000)*(MKT!$H22/MKT!$H$23)*(N43/$E43)*CON!$F$62,"")</f>
        <v/>
      </c>
      <c r="P43" s="513" t="str">
        <f t="shared" si="6"/>
        <v>0</v>
      </c>
      <c r="Q43" s="515" t="str">
        <f>IF($B43="x",('MKT2'!$I$36*1000)*(MKT!$H22/MKT!$H$23)*(P43/$E43)*CON!$G$62,"")</f>
        <v/>
      </c>
      <c r="R43" s="513" t="str">
        <f t="shared" si="7"/>
        <v>0</v>
      </c>
      <c r="S43" s="515" t="str">
        <f>IF($B43="x",('MKT2'!$J$36*1000)*(MKT!$H22/MKT!$H$23)*(R43/$E43)*CON!$H$62,"")</f>
        <v/>
      </c>
      <c r="T43" s="513" t="str">
        <f t="shared" si="8"/>
        <v>0</v>
      </c>
      <c r="U43" s="515" t="str">
        <f>IF($B43="x",('MKT2'!$K$36*1000)*(MKT!$H22/MKT!$H$23)*(T43/$E43)*CON!$I$62,"")</f>
        <v/>
      </c>
      <c r="V43" s="513" t="str">
        <f t="shared" si="9"/>
        <v>0</v>
      </c>
      <c r="W43" s="168" t="str">
        <f>IF($B43="x",('MKT2'!$L$36*1000)*(MKT!$H22/MKT!$H$23)*(V43/$E43)*CON!$J$62,"")</f>
        <v/>
      </c>
      <c r="X43" s="513" t="str">
        <f t="shared" si="10"/>
        <v>0</v>
      </c>
      <c r="Y43" s="168" t="str">
        <f>IF($B43="x",('MKT2'!$M$36*1000)*(MKT!$H22/MKT!$H$23)*(X43/$E43)*CON!$K$62,"")</f>
        <v/>
      </c>
    </row>
    <row r="44" spans="1:25" s="524" customFormat="1" x14ac:dyDescent="0.45">
      <c r="A44" s="504" t="s">
        <v>6</v>
      </c>
      <c r="B44" s="510"/>
      <c r="C44" s="517">
        <f>SUMIF($B$28:$B$43,"x",C$28:C$43)</f>
        <v>30969.007492287124</v>
      </c>
      <c r="D44" s="518">
        <f>(MKT!E23*$B$20)+(MKT!F23*$C$20)+(MKT!G23*$D$20)</f>
        <v>0.28842873585055717</v>
      </c>
      <c r="E44" s="517">
        <f>SUMIF($B$28:$B$43,"x",E$28:E$43)</f>
        <v>70392</v>
      </c>
      <c r="F44" s="519">
        <f t="shared" ref="F44" si="11">SUMIF($B$28:$B$43,"x",F$28:F$43)</f>
        <v>7039.1999999999989</v>
      </c>
      <c r="G44" s="520">
        <f>SUMIF($B$28:$B$43,"x",G$28:G$43)</f>
        <v>1.3933114965000002</v>
      </c>
      <c r="H44" s="519">
        <f t="shared" ref="H44:Y44" si="12">SUMIF($B$28:$B$43,"x",H$28:H$43)</f>
        <v>14078.399999999998</v>
      </c>
      <c r="I44" s="520">
        <f t="shared" si="12"/>
        <v>10.463282263035001</v>
      </c>
      <c r="J44" s="521">
        <f t="shared" si="12"/>
        <v>21117.599999999999</v>
      </c>
      <c r="K44" s="520">
        <f t="shared" si="12"/>
        <v>42.696667243605638</v>
      </c>
      <c r="L44" s="521">
        <f t="shared" si="12"/>
        <v>28156.799999999996</v>
      </c>
      <c r="M44" s="520">
        <f t="shared" si="12"/>
        <v>187.88024640962706</v>
      </c>
      <c r="N44" s="521">
        <f t="shared" si="12"/>
        <v>35196</v>
      </c>
      <c r="O44" s="520">
        <f t="shared" si="12"/>
        <v>530.90678455050511</v>
      </c>
      <c r="P44" s="521">
        <f t="shared" si="12"/>
        <v>42235.199999999997</v>
      </c>
      <c r="Q44" s="520">
        <f t="shared" si="12"/>
        <v>776.95312382302996</v>
      </c>
      <c r="R44" s="522">
        <f t="shared" si="12"/>
        <v>49274.400000000009</v>
      </c>
      <c r="S44" s="520">
        <f t="shared" si="12"/>
        <v>1088.7971437881463</v>
      </c>
      <c r="T44" s="522">
        <f t="shared" si="12"/>
        <v>56313.599999999991</v>
      </c>
      <c r="U44" s="520">
        <f t="shared" si="12"/>
        <v>1331.2710021382727</v>
      </c>
      <c r="V44" s="522">
        <f t="shared" si="12"/>
        <v>63352.800000000003</v>
      </c>
      <c r="W44" s="520">
        <f t="shared" si="12"/>
        <v>1602.319877031814</v>
      </c>
      <c r="X44" s="523">
        <f t="shared" si="12"/>
        <v>70392</v>
      </c>
      <c r="Y44" s="520">
        <f t="shared" si="12"/>
        <v>1904.7565804309545</v>
      </c>
    </row>
    <row r="45" spans="1:25" x14ac:dyDescent="0.45">
      <c r="B45" s="369"/>
      <c r="X45" s="369"/>
    </row>
    <row r="46" spans="1:25" x14ac:dyDescent="0.45">
      <c r="A46" s="120" t="s">
        <v>368</v>
      </c>
      <c r="B46" s="369"/>
      <c r="G46" s="457">
        <f>G44*1000000/$B$8/F44</f>
        <v>0.60903402331558676</v>
      </c>
      <c r="I46" s="457">
        <f>I44*1000000/$B$8/H44</f>
        <v>2.2868163040894078</v>
      </c>
      <c r="K46" s="457">
        <f>K44*1000000/$B$8/J44</f>
        <v>6.2210838707786786</v>
      </c>
      <c r="M46" s="457">
        <f>M44*1000000/$B$8/L44</f>
        <v>20.531206169585168</v>
      </c>
      <c r="O46" s="457">
        <f>O44*1000000/$B$8/N44</f>
        <v>46.413209940859112</v>
      </c>
      <c r="Q46" s="457">
        <f>Q44*1000000/$B$8/P44</f>
        <v>56.602667831063997</v>
      </c>
      <c r="S46" s="457">
        <f>S44*1000000/$B$8/R44</f>
        <v>67.989565734127254</v>
      </c>
      <c r="U46" s="457">
        <f>U44*1000000/$B$8/T44</f>
        <v>72.739417620570578</v>
      </c>
      <c r="W46" s="457">
        <f>W44*1000000/$B$8/V44</f>
        <v>77.821580202480959</v>
      </c>
      <c r="X46" s="369"/>
      <c r="Y46" s="457">
        <f>Y44*1000000/$B$8/X44</f>
        <v>83.259311828746036</v>
      </c>
    </row>
    <row r="47" spans="1:25" x14ac:dyDescent="0.45">
      <c r="B47" s="369"/>
      <c r="X47" s="369"/>
    </row>
    <row r="48" spans="1:25" x14ac:dyDescent="0.45">
      <c r="F48" s="525" t="s">
        <v>270</v>
      </c>
      <c r="G48" s="408" t="s">
        <v>416</v>
      </c>
      <c r="X48" s="369"/>
    </row>
    <row r="49" spans="1:27" x14ac:dyDescent="0.45">
      <c r="B49" s="369"/>
      <c r="X49" s="369"/>
    </row>
    <row r="50" spans="1:27" ht="14.65" thickBot="1" x14ac:dyDescent="0.5"/>
    <row r="51" spans="1:27" ht="14.65" thickBot="1" x14ac:dyDescent="0.5">
      <c r="A51" s="492" t="s">
        <v>216</v>
      </c>
      <c r="B51" s="492"/>
      <c r="C51" s="492"/>
      <c r="D51" s="492"/>
      <c r="E51" s="492"/>
      <c r="F51" s="496">
        <v>1</v>
      </c>
      <c r="G51" s="495"/>
      <c r="H51" s="494">
        <v>2</v>
      </c>
      <c r="I51" s="495"/>
      <c r="J51" s="494">
        <v>3</v>
      </c>
      <c r="K51" s="526"/>
      <c r="L51" s="494">
        <v>4</v>
      </c>
      <c r="M51" s="495"/>
      <c r="N51" s="494">
        <v>5</v>
      </c>
      <c r="O51" s="495"/>
      <c r="P51" s="494">
        <v>6</v>
      </c>
      <c r="Q51" s="495"/>
      <c r="R51" s="494">
        <v>7</v>
      </c>
      <c r="S51" s="495"/>
      <c r="T51" s="494">
        <v>8</v>
      </c>
      <c r="U51" s="495"/>
      <c r="V51" s="494">
        <v>9</v>
      </c>
      <c r="W51" s="495"/>
      <c r="X51" s="494">
        <v>10</v>
      </c>
      <c r="Y51" s="498"/>
    </row>
    <row r="52" spans="1:27" x14ac:dyDescent="0.45">
      <c r="A52" s="336"/>
      <c r="B52" s="527"/>
      <c r="C52" s="527"/>
      <c r="D52" s="527"/>
      <c r="E52" s="527"/>
      <c r="F52" s="528"/>
      <c r="G52" s="428"/>
      <c r="H52" s="427"/>
      <c r="I52" s="428"/>
      <c r="J52" s="529"/>
      <c r="K52" s="436"/>
      <c r="L52" s="530"/>
      <c r="M52" s="437"/>
      <c r="N52" s="530"/>
      <c r="O52" s="437"/>
      <c r="P52" s="530"/>
      <c r="Q52" s="437"/>
      <c r="R52" s="531"/>
      <c r="S52" s="433"/>
      <c r="T52" s="531"/>
      <c r="U52" s="433"/>
      <c r="V52" s="531"/>
      <c r="W52" s="433"/>
      <c r="X52" s="531"/>
      <c r="Y52" s="432"/>
    </row>
    <row r="53" spans="1:27" x14ac:dyDescent="0.45">
      <c r="A53" s="532" t="s">
        <v>208</v>
      </c>
      <c r="B53" s="43"/>
      <c r="C53" s="43"/>
      <c r="D53" s="43"/>
      <c r="E53" s="43"/>
      <c r="F53" s="422"/>
      <c r="G53" s="533"/>
      <c r="H53" s="534"/>
      <c r="I53" s="533"/>
      <c r="J53" s="534"/>
      <c r="K53" s="535"/>
      <c r="L53" s="536"/>
      <c r="M53" s="432"/>
      <c r="N53" s="536"/>
      <c r="O53" s="432"/>
      <c r="P53" s="536"/>
      <c r="Q53" s="432"/>
      <c r="R53" s="536"/>
      <c r="S53" s="432"/>
      <c r="T53" s="536"/>
      <c r="U53" s="432"/>
      <c r="V53" s="536"/>
      <c r="W53" s="432"/>
      <c r="X53" s="536"/>
      <c r="Y53" s="432"/>
      <c r="Z53" s="340"/>
      <c r="AA53" s="340"/>
    </row>
    <row r="54" spans="1:27" x14ac:dyDescent="0.45">
      <c r="A54" s="43"/>
      <c r="B54" s="43"/>
      <c r="C54" s="43"/>
      <c r="D54" s="43"/>
      <c r="E54" s="43"/>
      <c r="F54" s="422"/>
      <c r="G54" s="533"/>
      <c r="H54" s="534"/>
      <c r="I54" s="533"/>
      <c r="J54" s="534"/>
      <c r="K54" s="535"/>
      <c r="L54" s="536"/>
      <c r="M54" s="432"/>
      <c r="N54" s="536"/>
      <c r="O54" s="432"/>
      <c r="P54" s="536"/>
      <c r="Q54" s="432"/>
      <c r="R54" s="536"/>
      <c r="S54" s="432"/>
      <c r="T54" s="536"/>
      <c r="U54" s="432"/>
      <c r="V54" s="536"/>
      <c r="W54" s="432"/>
      <c r="X54" s="536"/>
      <c r="Y54" s="432"/>
      <c r="Z54" s="340"/>
      <c r="AA54" s="340"/>
    </row>
    <row r="55" spans="1:27" x14ac:dyDescent="0.45">
      <c r="A55" s="336" t="str">
        <f>MKT!A7</f>
        <v>London inner 1</v>
      </c>
      <c r="B55" s="527"/>
      <c r="C55" s="527"/>
      <c r="D55" s="527"/>
      <c r="E55" s="527"/>
      <c r="F55" s="513">
        <f t="shared" ref="F55:F70" si="13">IF(F28="","-",F28)</f>
        <v>116.30000000000001</v>
      </c>
      <c r="G55" s="506"/>
      <c r="H55" s="506">
        <f t="shared" ref="H55:H70" si="14">IF(H28=" ","0",H28-F28)</f>
        <v>116.30000000000001</v>
      </c>
      <c r="I55" s="506"/>
      <c r="J55" s="513">
        <f t="shared" ref="J55:J70" si="15">IF(J28=" ","0",J28-H28)</f>
        <v>116.29999999999995</v>
      </c>
      <c r="K55" s="537"/>
      <c r="L55" s="538">
        <f t="shared" ref="L55:L70" si="16">IF(L28=" ","0",L28-J28)</f>
        <v>116.30000000000007</v>
      </c>
      <c r="M55" s="539"/>
      <c r="N55" s="538">
        <f t="shared" ref="N55:N70" si="17">IF(N28=" ","0",N28-L28)</f>
        <v>116.29999999999995</v>
      </c>
      <c r="O55" s="539"/>
      <c r="P55" s="538">
        <f t="shared" ref="P55:P70" si="18">IF(P28=" ","0",P28-N28)</f>
        <v>116.29999999999995</v>
      </c>
      <c r="Q55" s="539"/>
      <c r="R55" s="538">
        <f t="shared" ref="R55:R70" si="19">IF(R28=" ","0",R28-P28)</f>
        <v>116.29999999999995</v>
      </c>
      <c r="S55" s="539"/>
      <c r="T55" s="538">
        <f t="shared" ref="T55:T70" si="20">IF(T28=" ","0",T28-R28)</f>
        <v>116.30000000000018</v>
      </c>
      <c r="U55" s="539"/>
      <c r="V55" s="538">
        <f t="shared" ref="V55:V70" si="21">IF(V28=" ","0",V28-T28)</f>
        <v>116.29999999999995</v>
      </c>
      <c r="W55" s="539"/>
      <c r="X55" s="539">
        <f>IF(X28=" ","0",X28-V28)</f>
        <v>116.29999999999995</v>
      </c>
      <c r="Y55" s="296"/>
      <c r="Z55" s="434"/>
      <c r="AA55" s="434"/>
    </row>
    <row r="56" spans="1:27" x14ac:dyDescent="0.45">
      <c r="A56" s="336" t="str">
        <f>MKT!A8</f>
        <v>London inner 2</v>
      </c>
      <c r="B56" s="527"/>
      <c r="C56" s="527"/>
      <c r="D56" s="511"/>
      <c r="E56" s="527"/>
      <c r="F56" s="513">
        <f t="shared" si="13"/>
        <v>113.2</v>
      </c>
      <c r="G56" s="506"/>
      <c r="H56" s="506">
        <f t="shared" si="14"/>
        <v>113.2</v>
      </c>
      <c r="I56" s="506"/>
      <c r="J56" s="513">
        <f t="shared" si="15"/>
        <v>113.19999999999996</v>
      </c>
      <c r="K56" s="537"/>
      <c r="L56" s="538">
        <f t="shared" si="16"/>
        <v>113.20000000000005</v>
      </c>
      <c r="M56" s="539"/>
      <c r="N56" s="538">
        <f t="shared" si="17"/>
        <v>113.19999999999999</v>
      </c>
      <c r="O56" s="539"/>
      <c r="P56" s="538">
        <f t="shared" si="18"/>
        <v>113.19999999999993</v>
      </c>
      <c r="Q56" s="539"/>
      <c r="R56" s="538">
        <f t="shared" si="19"/>
        <v>113.20000000000005</v>
      </c>
      <c r="S56" s="539"/>
      <c r="T56" s="538">
        <f t="shared" si="20"/>
        <v>113.20000000000005</v>
      </c>
      <c r="U56" s="539"/>
      <c r="V56" s="538">
        <f t="shared" si="21"/>
        <v>113.20000000000005</v>
      </c>
      <c r="W56" s="539"/>
      <c r="X56" s="539">
        <f t="shared" ref="X56:X70" si="22">IF(X29="","-",X29-V29)</f>
        <v>113.19999999999993</v>
      </c>
      <c r="Y56" s="296"/>
      <c r="Z56" s="434"/>
      <c r="AA56" s="434"/>
    </row>
    <row r="57" spans="1:27" x14ac:dyDescent="0.45">
      <c r="A57" s="336" t="str">
        <f>MKT!A9</f>
        <v>London outer</v>
      </c>
      <c r="B57" s="527"/>
      <c r="C57" s="527"/>
      <c r="D57" s="527"/>
      <c r="E57" s="527"/>
      <c r="F57" s="513">
        <f t="shared" si="13"/>
        <v>830.2</v>
      </c>
      <c r="G57" s="506"/>
      <c r="H57" s="506">
        <f t="shared" si="14"/>
        <v>830.2</v>
      </c>
      <c r="I57" s="506"/>
      <c r="J57" s="513">
        <f t="shared" si="15"/>
        <v>830.19999999999982</v>
      </c>
      <c r="K57" s="537"/>
      <c r="L57" s="538">
        <f t="shared" si="16"/>
        <v>830.20000000000027</v>
      </c>
      <c r="M57" s="539"/>
      <c r="N57" s="538">
        <f t="shared" si="17"/>
        <v>830.19999999999982</v>
      </c>
      <c r="O57" s="539"/>
      <c r="P57" s="538">
        <f t="shared" si="18"/>
        <v>830.19999999999982</v>
      </c>
      <c r="Q57" s="539"/>
      <c r="R57" s="538">
        <f t="shared" si="19"/>
        <v>830.19999999999982</v>
      </c>
      <c r="S57" s="539"/>
      <c r="T57" s="538">
        <f t="shared" si="20"/>
        <v>830.20000000000073</v>
      </c>
      <c r="U57" s="539"/>
      <c r="V57" s="538">
        <f t="shared" si="21"/>
        <v>830.19999999999982</v>
      </c>
      <c r="W57" s="539"/>
      <c r="X57" s="539">
        <f t="shared" si="22"/>
        <v>830.19999999999982</v>
      </c>
      <c r="Y57" s="296"/>
      <c r="Z57" s="434"/>
      <c r="AA57" s="434"/>
    </row>
    <row r="58" spans="1:27" x14ac:dyDescent="0.45">
      <c r="A58" s="336" t="str">
        <f>MKT!A10</f>
        <v>Southeast</v>
      </c>
      <c r="B58" s="527"/>
      <c r="C58" s="527"/>
      <c r="D58" s="527"/>
      <c r="E58" s="527"/>
      <c r="F58" s="513">
        <f t="shared" si="13"/>
        <v>1188.5</v>
      </c>
      <c r="G58" s="506"/>
      <c r="H58" s="506">
        <f t="shared" si="14"/>
        <v>1188.5</v>
      </c>
      <c r="I58" s="506"/>
      <c r="J58" s="513">
        <f t="shared" si="15"/>
        <v>1188.5</v>
      </c>
      <c r="K58" s="537"/>
      <c r="L58" s="538">
        <f t="shared" si="16"/>
        <v>1188.5</v>
      </c>
      <c r="M58" s="539"/>
      <c r="N58" s="538">
        <f t="shared" si="17"/>
        <v>1188.5</v>
      </c>
      <c r="O58" s="539"/>
      <c r="P58" s="538">
        <f t="shared" si="18"/>
        <v>1188.5</v>
      </c>
      <c r="Q58" s="539"/>
      <c r="R58" s="538">
        <f t="shared" si="19"/>
        <v>1188.5</v>
      </c>
      <c r="S58" s="539"/>
      <c r="T58" s="538">
        <f t="shared" si="20"/>
        <v>1188.5</v>
      </c>
      <c r="U58" s="539"/>
      <c r="V58" s="538">
        <f t="shared" si="21"/>
        <v>1188.5</v>
      </c>
      <c r="W58" s="539"/>
      <c r="X58" s="539">
        <f t="shared" si="22"/>
        <v>1188.5</v>
      </c>
      <c r="Y58" s="296"/>
      <c r="Z58" s="434"/>
      <c r="AA58" s="434"/>
    </row>
    <row r="59" spans="1:27" x14ac:dyDescent="0.45">
      <c r="A59" s="336" t="str">
        <f>MKT!A11</f>
        <v>Northwest</v>
      </c>
      <c r="B59" s="527"/>
      <c r="C59" s="527"/>
      <c r="D59" s="527"/>
      <c r="E59" s="527"/>
      <c r="F59" s="513">
        <f t="shared" si="13"/>
        <v>653.6</v>
      </c>
      <c r="G59" s="506"/>
      <c r="H59" s="506">
        <f t="shared" si="14"/>
        <v>653.6</v>
      </c>
      <c r="I59" s="506"/>
      <c r="J59" s="513">
        <f t="shared" si="15"/>
        <v>653.59999999999991</v>
      </c>
      <c r="K59" s="537"/>
      <c r="L59" s="538">
        <f t="shared" si="16"/>
        <v>653.60000000000014</v>
      </c>
      <c r="M59" s="539"/>
      <c r="N59" s="538">
        <f t="shared" si="17"/>
        <v>653.59999999999991</v>
      </c>
      <c r="O59" s="539"/>
      <c r="P59" s="538">
        <f t="shared" si="18"/>
        <v>653.59999999999991</v>
      </c>
      <c r="Q59" s="539"/>
      <c r="R59" s="538">
        <f t="shared" si="19"/>
        <v>653.59999999999991</v>
      </c>
      <c r="S59" s="539"/>
      <c r="T59" s="538">
        <f t="shared" si="20"/>
        <v>653.60000000000036</v>
      </c>
      <c r="U59" s="539"/>
      <c r="V59" s="538">
        <f t="shared" si="21"/>
        <v>653.60000000000036</v>
      </c>
      <c r="W59" s="539"/>
      <c r="X59" s="539">
        <f t="shared" si="22"/>
        <v>653.59999999999945</v>
      </c>
      <c r="Y59" s="296"/>
      <c r="Z59" s="434"/>
      <c r="AA59" s="434"/>
    </row>
    <row r="60" spans="1:27" x14ac:dyDescent="0.45">
      <c r="A60" s="336" t="str">
        <f>MKT!A12</f>
        <v>East of England</v>
      </c>
      <c r="B60" s="527"/>
      <c r="C60" s="527"/>
      <c r="D60" s="527"/>
      <c r="E60" s="527"/>
      <c r="F60" s="513">
        <f t="shared" si="13"/>
        <v>702.2</v>
      </c>
      <c r="G60" s="506"/>
      <c r="H60" s="506">
        <f t="shared" si="14"/>
        <v>702.2</v>
      </c>
      <c r="I60" s="506"/>
      <c r="J60" s="513">
        <f t="shared" si="15"/>
        <v>702.19999999999982</v>
      </c>
      <c r="K60" s="537"/>
      <c r="L60" s="538">
        <f t="shared" si="16"/>
        <v>702.20000000000027</v>
      </c>
      <c r="M60" s="539"/>
      <c r="N60" s="538">
        <f t="shared" si="17"/>
        <v>702.19999999999982</v>
      </c>
      <c r="O60" s="539"/>
      <c r="P60" s="538">
        <f t="shared" si="18"/>
        <v>702.19999999999982</v>
      </c>
      <c r="Q60" s="539"/>
      <c r="R60" s="538">
        <f t="shared" si="19"/>
        <v>702.19999999999982</v>
      </c>
      <c r="S60" s="539"/>
      <c r="T60" s="538">
        <f t="shared" si="20"/>
        <v>702.20000000000073</v>
      </c>
      <c r="U60" s="539"/>
      <c r="V60" s="538">
        <f t="shared" si="21"/>
        <v>702.19999999999982</v>
      </c>
      <c r="W60" s="539"/>
      <c r="X60" s="539">
        <f t="shared" si="22"/>
        <v>702.19999999999982</v>
      </c>
      <c r="Y60" s="296"/>
      <c r="Z60" s="434"/>
      <c r="AA60" s="434"/>
    </row>
    <row r="61" spans="1:27" x14ac:dyDescent="0.45">
      <c r="A61" s="336" t="str">
        <f>MKT!A13</f>
        <v>West Midlands</v>
      </c>
      <c r="B61" s="527"/>
      <c r="C61" s="527"/>
      <c r="D61" s="527"/>
      <c r="E61" s="527"/>
      <c r="F61" s="513">
        <f t="shared" si="13"/>
        <v>602.20000000000005</v>
      </c>
      <c r="G61" s="506"/>
      <c r="H61" s="513">
        <f t="shared" si="14"/>
        <v>602.20000000000005</v>
      </c>
      <c r="I61" s="506"/>
      <c r="J61" s="513">
        <f t="shared" si="15"/>
        <v>602.19999999999982</v>
      </c>
      <c r="K61" s="537"/>
      <c r="L61" s="538">
        <f t="shared" si="16"/>
        <v>602.20000000000027</v>
      </c>
      <c r="M61" s="539"/>
      <c r="N61" s="538">
        <f t="shared" si="17"/>
        <v>602.19999999999982</v>
      </c>
      <c r="O61" s="539"/>
      <c r="P61" s="538">
        <f t="shared" si="18"/>
        <v>602.19999999999982</v>
      </c>
      <c r="Q61" s="539"/>
      <c r="R61" s="538">
        <f t="shared" si="19"/>
        <v>602.19999999999982</v>
      </c>
      <c r="S61" s="539"/>
      <c r="T61" s="538">
        <f t="shared" si="20"/>
        <v>602.20000000000073</v>
      </c>
      <c r="U61" s="539"/>
      <c r="V61" s="538">
        <f t="shared" si="21"/>
        <v>602.19999999999982</v>
      </c>
      <c r="W61" s="539"/>
      <c r="X61" s="539">
        <f t="shared" si="22"/>
        <v>602.19999999999982</v>
      </c>
      <c r="Y61" s="296"/>
      <c r="Z61" s="434"/>
      <c r="AA61" s="434"/>
    </row>
    <row r="62" spans="1:27" x14ac:dyDescent="0.45">
      <c r="A62" s="336" t="str">
        <f>MKT!A14</f>
        <v>Southwest</v>
      </c>
      <c r="B62" s="527"/>
      <c r="C62" s="527"/>
      <c r="D62" s="527"/>
      <c r="E62" s="527"/>
      <c r="F62" s="513">
        <f t="shared" si="13"/>
        <v>351.3</v>
      </c>
      <c r="G62" s="506"/>
      <c r="H62" s="513">
        <f t="shared" si="14"/>
        <v>351.3</v>
      </c>
      <c r="I62" s="506"/>
      <c r="J62" s="513">
        <f t="shared" si="15"/>
        <v>351.29999999999984</v>
      </c>
      <c r="K62" s="537"/>
      <c r="L62" s="538">
        <f t="shared" si="16"/>
        <v>351.30000000000018</v>
      </c>
      <c r="M62" s="539"/>
      <c r="N62" s="538">
        <f t="shared" si="17"/>
        <v>351.29999999999995</v>
      </c>
      <c r="O62" s="539"/>
      <c r="P62" s="538">
        <f t="shared" si="18"/>
        <v>351.29999999999973</v>
      </c>
      <c r="Q62" s="539"/>
      <c r="R62" s="538">
        <f t="shared" si="19"/>
        <v>351.30000000000018</v>
      </c>
      <c r="S62" s="539"/>
      <c r="T62" s="538">
        <f t="shared" si="20"/>
        <v>351.30000000000018</v>
      </c>
      <c r="U62" s="539"/>
      <c r="V62" s="538">
        <f t="shared" si="21"/>
        <v>351.30000000000018</v>
      </c>
      <c r="W62" s="539"/>
      <c r="X62" s="539">
        <f t="shared" si="22"/>
        <v>351.29999999999973</v>
      </c>
      <c r="Y62" s="296"/>
      <c r="Z62" s="434"/>
      <c r="AA62" s="434"/>
    </row>
    <row r="63" spans="1:27" x14ac:dyDescent="0.45">
      <c r="A63" s="540" t="str">
        <f>MKT!A15</f>
        <v>Yorkshire/Humber</v>
      </c>
      <c r="B63" s="527"/>
      <c r="C63" s="527"/>
      <c r="D63" s="527"/>
      <c r="E63" s="527"/>
      <c r="F63" s="513">
        <f t="shared" si="13"/>
        <v>565.9</v>
      </c>
      <c r="G63" s="506"/>
      <c r="H63" s="513">
        <f t="shared" si="14"/>
        <v>565.9</v>
      </c>
      <c r="I63" s="506"/>
      <c r="J63" s="513">
        <f t="shared" si="15"/>
        <v>565.90000000000009</v>
      </c>
      <c r="K63" s="537"/>
      <c r="L63" s="538">
        <f t="shared" si="16"/>
        <v>565.89999999999986</v>
      </c>
      <c r="M63" s="539"/>
      <c r="N63" s="538">
        <f t="shared" si="17"/>
        <v>565.90000000000009</v>
      </c>
      <c r="O63" s="539"/>
      <c r="P63" s="538">
        <f t="shared" si="18"/>
        <v>565.90000000000009</v>
      </c>
      <c r="Q63" s="539"/>
      <c r="R63" s="538">
        <f t="shared" si="19"/>
        <v>565.89999999999964</v>
      </c>
      <c r="S63" s="539"/>
      <c r="T63" s="538">
        <f t="shared" si="20"/>
        <v>565.90000000000009</v>
      </c>
      <c r="U63" s="539"/>
      <c r="V63" s="538">
        <f t="shared" si="21"/>
        <v>565.90000000000055</v>
      </c>
      <c r="W63" s="539"/>
      <c r="X63" s="539">
        <f t="shared" si="22"/>
        <v>565.89999999999964</v>
      </c>
      <c r="Y63" s="296"/>
      <c r="Z63" s="434"/>
      <c r="AA63" s="434"/>
    </row>
    <row r="64" spans="1:27" x14ac:dyDescent="0.45">
      <c r="A64" s="336" t="str">
        <f>MKT!A16</f>
        <v>East Midlands</v>
      </c>
      <c r="B64" s="527"/>
      <c r="C64" s="527"/>
      <c r="D64" s="527"/>
      <c r="E64" s="527"/>
      <c r="F64" s="513">
        <f t="shared" si="13"/>
        <v>574</v>
      </c>
      <c r="G64" s="506"/>
      <c r="H64" s="513">
        <f t="shared" si="14"/>
        <v>574</v>
      </c>
      <c r="I64" s="506"/>
      <c r="J64" s="513">
        <f t="shared" si="15"/>
        <v>574</v>
      </c>
      <c r="K64" s="537"/>
      <c r="L64" s="538">
        <f t="shared" si="16"/>
        <v>574</v>
      </c>
      <c r="M64" s="539"/>
      <c r="N64" s="538">
        <f t="shared" si="17"/>
        <v>574</v>
      </c>
      <c r="O64" s="539"/>
      <c r="P64" s="538">
        <f t="shared" si="18"/>
        <v>574</v>
      </c>
      <c r="Q64" s="539"/>
      <c r="R64" s="538">
        <f t="shared" si="19"/>
        <v>573.99999999999955</v>
      </c>
      <c r="S64" s="539"/>
      <c r="T64" s="538">
        <f t="shared" si="20"/>
        <v>574.00000000000045</v>
      </c>
      <c r="U64" s="539"/>
      <c r="V64" s="538">
        <f t="shared" si="21"/>
        <v>574</v>
      </c>
      <c r="W64" s="539"/>
      <c r="X64" s="539">
        <f t="shared" si="22"/>
        <v>574</v>
      </c>
      <c r="Y64" s="296"/>
      <c r="Z64" s="434"/>
      <c r="AA64" s="434"/>
    </row>
    <row r="65" spans="1:27" x14ac:dyDescent="0.45">
      <c r="A65" s="336" t="str">
        <f>MKT!A17</f>
        <v>North East</v>
      </c>
      <c r="B65" s="527"/>
      <c r="C65" s="527"/>
      <c r="D65" s="527"/>
      <c r="E65" s="527"/>
      <c r="F65" s="513">
        <f t="shared" si="13"/>
        <v>397.5</v>
      </c>
      <c r="G65" s="506"/>
      <c r="H65" s="513">
        <f t="shared" si="14"/>
        <v>397.5</v>
      </c>
      <c r="I65" s="506"/>
      <c r="J65" s="513">
        <f t="shared" si="15"/>
        <v>397.5</v>
      </c>
      <c r="K65" s="537"/>
      <c r="L65" s="538">
        <f t="shared" si="16"/>
        <v>397.5</v>
      </c>
      <c r="M65" s="539"/>
      <c r="N65" s="538">
        <f t="shared" si="17"/>
        <v>397.5</v>
      </c>
      <c r="O65" s="539"/>
      <c r="P65" s="538">
        <f t="shared" si="18"/>
        <v>397.5</v>
      </c>
      <c r="Q65" s="539"/>
      <c r="R65" s="538">
        <f t="shared" si="19"/>
        <v>397.5</v>
      </c>
      <c r="S65" s="539"/>
      <c r="T65" s="538">
        <f t="shared" si="20"/>
        <v>397.5</v>
      </c>
      <c r="U65" s="539"/>
      <c r="V65" s="538">
        <f t="shared" si="21"/>
        <v>397.5</v>
      </c>
      <c r="W65" s="539"/>
      <c r="X65" s="539">
        <f t="shared" si="22"/>
        <v>397.5</v>
      </c>
      <c r="Y65" s="296"/>
      <c r="Z65" s="434"/>
      <c r="AA65" s="434"/>
    </row>
    <row r="66" spans="1:27" x14ac:dyDescent="0.45">
      <c r="A66" s="336" t="str">
        <f>MKT!A18</f>
        <v>Scotland</v>
      </c>
      <c r="B66" s="527"/>
      <c r="C66" s="527"/>
      <c r="D66" s="527"/>
      <c r="E66" s="527"/>
      <c r="F66" s="513">
        <f t="shared" si="13"/>
        <v>477.20000000000005</v>
      </c>
      <c r="G66" s="506"/>
      <c r="H66" s="513">
        <f t="shared" si="14"/>
        <v>477.20000000000005</v>
      </c>
      <c r="I66" s="506"/>
      <c r="J66" s="513">
        <f t="shared" si="15"/>
        <v>477.19999999999982</v>
      </c>
      <c r="K66" s="537"/>
      <c r="L66" s="538">
        <f t="shared" si="16"/>
        <v>477.20000000000027</v>
      </c>
      <c r="M66" s="539"/>
      <c r="N66" s="538">
        <f t="shared" si="17"/>
        <v>477.19999999999982</v>
      </c>
      <c r="O66" s="539"/>
      <c r="P66" s="538">
        <f t="shared" si="18"/>
        <v>477.19999999999982</v>
      </c>
      <c r="Q66" s="539"/>
      <c r="R66" s="538">
        <f t="shared" si="19"/>
        <v>477.19999999999982</v>
      </c>
      <c r="S66" s="539"/>
      <c r="T66" s="538">
        <f t="shared" si="20"/>
        <v>477.20000000000073</v>
      </c>
      <c r="U66" s="539"/>
      <c r="V66" s="538">
        <f t="shared" si="21"/>
        <v>477.19999999999982</v>
      </c>
      <c r="W66" s="539"/>
      <c r="X66" s="539">
        <f t="shared" si="22"/>
        <v>477.19999999999982</v>
      </c>
      <c r="Y66" s="296"/>
      <c r="Z66" s="434"/>
      <c r="AA66" s="434"/>
    </row>
    <row r="67" spans="1:27" x14ac:dyDescent="0.45">
      <c r="A67" s="336" t="str">
        <f>MKT!A19</f>
        <v>Wales</v>
      </c>
      <c r="B67" s="527"/>
      <c r="C67" s="527"/>
      <c r="D67" s="527"/>
      <c r="E67" s="527"/>
      <c r="F67" s="513">
        <f t="shared" si="13"/>
        <v>125.9</v>
      </c>
      <c r="G67" s="506"/>
      <c r="H67" s="513">
        <f t="shared" si="14"/>
        <v>125.9</v>
      </c>
      <c r="I67" s="506"/>
      <c r="J67" s="513">
        <f t="shared" si="15"/>
        <v>125.89999999999998</v>
      </c>
      <c r="K67" s="537"/>
      <c r="L67" s="538">
        <f t="shared" si="16"/>
        <v>125.90000000000003</v>
      </c>
      <c r="M67" s="539"/>
      <c r="N67" s="538">
        <f t="shared" si="17"/>
        <v>125.89999999999998</v>
      </c>
      <c r="O67" s="539"/>
      <c r="P67" s="538">
        <f t="shared" si="18"/>
        <v>125.89999999999998</v>
      </c>
      <c r="Q67" s="539"/>
      <c r="R67" s="538">
        <f t="shared" si="19"/>
        <v>125.89999999999998</v>
      </c>
      <c r="S67" s="539"/>
      <c r="T67" s="538">
        <f t="shared" si="20"/>
        <v>125.90000000000009</v>
      </c>
      <c r="U67" s="539"/>
      <c r="V67" s="538">
        <f t="shared" si="21"/>
        <v>125.90000000000009</v>
      </c>
      <c r="W67" s="539"/>
      <c r="X67" s="539">
        <f t="shared" si="22"/>
        <v>125.89999999999986</v>
      </c>
      <c r="Y67" s="296"/>
      <c r="Z67" s="434"/>
      <c r="AA67" s="434"/>
    </row>
    <row r="68" spans="1:27" x14ac:dyDescent="0.45">
      <c r="A68" s="336" t="str">
        <f>MKT!A20</f>
        <v>Northern Ireland</v>
      </c>
      <c r="B68" s="527"/>
      <c r="C68" s="527"/>
      <c r="D68" s="527"/>
      <c r="E68" s="527"/>
      <c r="F68" s="513">
        <f t="shared" si="13"/>
        <v>341.20000000000005</v>
      </c>
      <c r="G68" s="506"/>
      <c r="H68" s="513">
        <f t="shared" si="14"/>
        <v>341.20000000000005</v>
      </c>
      <c r="I68" s="506"/>
      <c r="J68" s="513">
        <f t="shared" si="15"/>
        <v>341.19999999999982</v>
      </c>
      <c r="K68" s="537"/>
      <c r="L68" s="538">
        <f t="shared" si="16"/>
        <v>341.20000000000027</v>
      </c>
      <c r="M68" s="539"/>
      <c r="N68" s="538">
        <f t="shared" si="17"/>
        <v>341.19999999999982</v>
      </c>
      <c r="O68" s="539"/>
      <c r="P68" s="538">
        <f t="shared" si="18"/>
        <v>341.19999999999982</v>
      </c>
      <c r="Q68" s="539"/>
      <c r="R68" s="538">
        <f t="shared" si="19"/>
        <v>341.19999999999982</v>
      </c>
      <c r="S68" s="539"/>
      <c r="T68" s="538">
        <f t="shared" si="20"/>
        <v>341.20000000000073</v>
      </c>
      <c r="U68" s="539"/>
      <c r="V68" s="538">
        <f t="shared" si="21"/>
        <v>341.19999999999982</v>
      </c>
      <c r="W68" s="539"/>
      <c r="X68" s="539">
        <f t="shared" si="22"/>
        <v>341.19999999999982</v>
      </c>
      <c r="Y68" s="296"/>
      <c r="Z68" s="434"/>
      <c r="AA68" s="434"/>
    </row>
    <row r="69" spans="1:27" x14ac:dyDescent="0.45">
      <c r="A69" s="336" t="str">
        <f>MKT!A21</f>
        <v xml:space="preserve"> </v>
      </c>
      <c r="B69" s="527"/>
      <c r="C69" s="527"/>
      <c r="D69" s="527"/>
      <c r="E69" s="527"/>
      <c r="F69" s="513" t="str">
        <f t="shared" si="13"/>
        <v>0</v>
      </c>
      <c r="G69" s="506"/>
      <c r="H69" s="513">
        <f t="shared" si="14"/>
        <v>0</v>
      </c>
      <c r="I69" s="506"/>
      <c r="J69" s="513">
        <f t="shared" si="15"/>
        <v>0</v>
      </c>
      <c r="K69" s="537"/>
      <c r="L69" s="538">
        <f t="shared" si="16"/>
        <v>0</v>
      </c>
      <c r="M69" s="539"/>
      <c r="N69" s="538">
        <f t="shared" si="17"/>
        <v>0</v>
      </c>
      <c r="O69" s="539"/>
      <c r="P69" s="538">
        <f t="shared" si="18"/>
        <v>0</v>
      </c>
      <c r="Q69" s="539"/>
      <c r="R69" s="538">
        <f t="shared" si="19"/>
        <v>0</v>
      </c>
      <c r="S69" s="539"/>
      <c r="T69" s="538">
        <f t="shared" si="20"/>
        <v>0</v>
      </c>
      <c r="U69" s="539"/>
      <c r="V69" s="538">
        <f t="shared" si="21"/>
        <v>0</v>
      </c>
      <c r="W69" s="539"/>
      <c r="X69" s="539">
        <f t="shared" si="22"/>
        <v>0</v>
      </c>
      <c r="Y69" s="296"/>
      <c r="Z69" s="434"/>
      <c r="AA69" s="434"/>
    </row>
    <row r="70" spans="1:27" x14ac:dyDescent="0.45">
      <c r="A70" s="336" t="str">
        <f>MKT!A22</f>
        <v xml:space="preserve"> </v>
      </c>
      <c r="B70" s="527"/>
      <c r="C70" s="527"/>
      <c r="D70" s="527"/>
      <c r="E70" s="527"/>
      <c r="F70" s="513" t="str">
        <f t="shared" si="13"/>
        <v>0</v>
      </c>
      <c r="G70" s="506"/>
      <c r="H70" s="513">
        <f t="shared" si="14"/>
        <v>0</v>
      </c>
      <c r="I70" s="506"/>
      <c r="J70" s="513">
        <f t="shared" si="15"/>
        <v>0</v>
      </c>
      <c r="K70" s="537"/>
      <c r="L70" s="538">
        <f t="shared" si="16"/>
        <v>0</v>
      </c>
      <c r="M70" s="539"/>
      <c r="N70" s="538">
        <f t="shared" si="17"/>
        <v>0</v>
      </c>
      <c r="O70" s="539"/>
      <c r="P70" s="538">
        <f t="shared" si="18"/>
        <v>0</v>
      </c>
      <c r="Q70" s="539"/>
      <c r="R70" s="538">
        <f t="shared" si="19"/>
        <v>0</v>
      </c>
      <c r="S70" s="539"/>
      <c r="T70" s="538">
        <f t="shared" si="20"/>
        <v>0</v>
      </c>
      <c r="U70" s="539"/>
      <c r="V70" s="538">
        <f t="shared" si="21"/>
        <v>0</v>
      </c>
      <c r="W70" s="539"/>
      <c r="X70" s="539">
        <f t="shared" si="22"/>
        <v>0</v>
      </c>
      <c r="Y70" s="296"/>
      <c r="Z70" s="434"/>
      <c r="AA70" s="434"/>
    </row>
    <row r="71" spans="1:27" x14ac:dyDescent="0.45">
      <c r="A71" s="336" t="s">
        <v>332</v>
      </c>
      <c r="B71" s="541"/>
      <c r="C71" s="527"/>
      <c r="D71" s="542"/>
      <c r="E71" s="527"/>
      <c r="F71" s="506">
        <f>SUM(F55:F70)</f>
        <v>7039.1999999999989</v>
      </c>
      <c r="G71" s="506"/>
      <c r="H71" s="506">
        <f>SUM(H55:H70)</f>
        <v>7039.1999999999989</v>
      </c>
      <c r="I71" s="506"/>
      <c r="J71" s="506">
        <f>SUM(J55:J70)</f>
        <v>7039.1999999999989</v>
      </c>
      <c r="K71" s="508"/>
      <c r="L71" s="539">
        <f>SUM(L55:L70)</f>
        <v>7039.2000000000007</v>
      </c>
      <c r="M71" s="543"/>
      <c r="N71" s="539">
        <f>SUM(N55:N70)</f>
        <v>7039.1999999999989</v>
      </c>
      <c r="O71" s="543"/>
      <c r="P71" s="539">
        <f>SUM(P55:P70)</f>
        <v>7039.1999999999971</v>
      </c>
      <c r="Q71" s="543"/>
      <c r="R71" s="539">
        <f>SUM(R55:R70)</f>
        <v>7039.1999999999971</v>
      </c>
      <c r="S71" s="296"/>
      <c r="T71" s="539">
        <f>SUM(T55:T70)</f>
        <v>7039.2000000000044</v>
      </c>
      <c r="U71" s="296"/>
      <c r="V71" s="539">
        <f>SUM(V55:V70)</f>
        <v>7039.2</v>
      </c>
      <c r="W71" s="296"/>
      <c r="X71" s="539">
        <f>SUM(X55:X70)</f>
        <v>7039.1999999999971</v>
      </c>
      <c r="Y71" s="296"/>
      <c r="Z71" s="434"/>
      <c r="AA71" s="434"/>
    </row>
    <row r="72" spans="1:27" x14ac:dyDescent="0.45">
      <c r="A72" s="424"/>
      <c r="B72" s="426"/>
      <c r="C72" s="426"/>
      <c r="D72" s="544"/>
      <c r="E72" s="426"/>
      <c r="F72" s="427"/>
      <c r="G72" s="428"/>
      <c r="H72" s="427"/>
      <c r="I72" s="428"/>
      <c r="J72" s="529"/>
      <c r="K72" s="436"/>
      <c r="L72" s="530"/>
      <c r="M72" s="437"/>
      <c r="N72" s="530"/>
      <c r="O72" s="437"/>
      <c r="P72" s="530"/>
      <c r="Q72" s="437"/>
      <c r="R72" s="531"/>
      <c r="S72" s="433"/>
      <c r="T72" s="531"/>
      <c r="U72" s="433"/>
      <c r="V72" s="531"/>
      <c r="W72" s="433"/>
      <c r="X72" s="531"/>
      <c r="Y72" s="433"/>
    </row>
    <row r="73" spans="1:27" x14ac:dyDescent="0.45">
      <c r="A73" s="504" t="s">
        <v>209</v>
      </c>
      <c r="B73" s="527"/>
      <c r="C73" s="527"/>
      <c r="D73" s="527"/>
      <c r="E73" s="527"/>
      <c r="F73" s="506"/>
      <c r="G73" s="506"/>
      <c r="H73" s="506"/>
      <c r="I73" s="506"/>
      <c r="J73" s="507"/>
      <c r="K73" s="508"/>
      <c r="L73" s="543"/>
      <c r="M73" s="543"/>
      <c r="N73" s="543"/>
      <c r="O73" s="543"/>
      <c r="P73" s="543"/>
      <c r="Q73" s="543"/>
      <c r="R73" s="296"/>
      <c r="S73" s="296"/>
      <c r="T73" s="296"/>
      <c r="U73" s="296"/>
      <c r="V73" s="296"/>
      <c r="W73" s="296"/>
      <c r="X73" s="296"/>
      <c r="Y73" s="43"/>
    </row>
    <row r="74" spans="1:27" x14ac:dyDescent="0.45">
      <c r="A74" s="541" t="str">
        <f>MKT!A7</f>
        <v>London inner 1</v>
      </c>
      <c r="B74" s="527"/>
      <c r="C74" s="527"/>
      <c r="D74" s="527"/>
      <c r="E74" s="527"/>
      <c r="F74" s="513">
        <f>IF(F28="0","0",F180)</f>
        <v>0</v>
      </c>
      <c r="G74" s="506"/>
      <c r="H74" s="513">
        <f>IF(H28="0","0",H180)</f>
        <v>0</v>
      </c>
      <c r="I74" s="506"/>
      <c r="J74" s="513">
        <f>IF(J28="0","0",J180)</f>
        <v>348.9</v>
      </c>
      <c r="K74" s="508"/>
      <c r="L74" s="538">
        <f>IF(L28="0","0",L180)</f>
        <v>1860.8000000000002</v>
      </c>
      <c r="M74" s="543"/>
      <c r="N74" s="538">
        <f>IF(N28="0","0",N180)</f>
        <v>4070.5</v>
      </c>
      <c r="O74" s="543"/>
      <c r="P74" s="538">
        <f>IF(P28="0","0",P180)</f>
        <v>2093.3999999999996</v>
      </c>
      <c r="Q74" s="543"/>
      <c r="R74" s="538">
        <f>IF(R28="0","0",R180)</f>
        <v>2442.2999999999997</v>
      </c>
      <c r="S74" s="296"/>
      <c r="T74" s="538">
        <f>IF(T28="0","0",T180)</f>
        <v>930.40000000000009</v>
      </c>
      <c r="U74" s="296"/>
      <c r="V74" s="538">
        <f>IF(V28="0","0",V180)</f>
        <v>1046.7</v>
      </c>
      <c r="W74" s="296"/>
      <c r="X74" s="539">
        <f>IF(X28="","-",X180)</f>
        <v>2326</v>
      </c>
      <c r="Y74" s="43"/>
    </row>
    <row r="75" spans="1:27" x14ac:dyDescent="0.45">
      <c r="A75" s="541" t="str">
        <f>MKT!A8</f>
        <v>London inner 2</v>
      </c>
      <c r="B75" s="527"/>
      <c r="C75" s="527"/>
      <c r="D75" s="527"/>
      <c r="E75" s="43"/>
      <c r="F75" s="513">
        <f>IF(F29="0","0",F185)</f>
        <v>0</v>
      </c>
      <c r="G75" s="506"/>
      <c r="H75" s="513">
        <f>IF(H29="0","0",H185)</f>
        <v>0</v>
      </c>
      <c r="I75" s="506"/>
      <c r="J75" s="513">
        <f>IF(J29="0","0",J185)</f>
        <v>339.59999999999997</v>
      </c>
      <c r="K75" s="508"/>
      <c r="L75" s="513">
        <f>IF(L29="0","0",L185)</f>
        <v>1358.4</v>
      </c>
      <c r="M75" s="543"/>
      <c r="N75" s="513">
        <f>IF(N29="0","0",N185)</f>
        <v>2830</v>
      </c>
      <c r="O75" s="543"/>
      <c r="P75" s="513">
        <f>IF(P29="0","0",P185)</f>
        <v>1358.3999999999999</v>
      </c>
      <c r="Q75" s="543"/>
      <c r="R75" s="513">
        <f>IF(R29="0","0",R185)</f>
        <v>1584.8</v>
      </c>
      <c r="S75" s="296"/>
      <c r="T75" s="513">
        <f>IF(T29="0","0",T185)</f>
        <v>905.6</v>
      </c>
      <c r="U75" s="296"/>
      <c r="V75" s="513">
        <f>IF(V29="0","0",V185)</f>
        <v>1018.8000000000001</v>
      </c>
      <c r="W75" s="296"/>
      <c r="X75" s="513">
        <f>IF(X29="0","0",X185)</f>
        <v>1132</v>
      </c>
      <c r="Y75" s="43"/>
    </row>
    <row r="76" spans="1:27" x14ac:dyDescent="0.45">
      <c r="A76" s="541" t="str">
        <f>MKT!A9</f>
        <v>London outer</v>
      </c>
      <c r="B76" s="527"/>
      <c r="C76" s="527"/>
      <c r="D76" s="527"/>
      <c r="E76" s="43"/>
      <c r="F76" s="513">
        <f>IF(F30="0","0",F190)</f>
        <v>0</v>
      </c>
      <c r="G76" s="506"/>
      <c r="H76" s="513">
        <f>IF(H30="0","0",H190)</f>
        <v>0</v>
      </c>
      <c r="I76" s="506"/>
      <c r="J76" s="513">
        <f>IF(J30="0","0",J190)</f>
        <v>0</v>
      </c>
      <c r="K76" s="508"/>
      <c r="L76" s="513">
        <f>IF(L30="0","0",L190)</f>
        <v>6641.6</v>
      </c>
      <c r="M76" s="543"/>
      <c r="N76" s="513">
        <f>IF(N30="0","0",N190)</f>
        <v>12453</v>
      </c>
      <c r="O76" s="543"/>
      <c r="P76" s="513">
        <f>IF(P30="0","0",P190)</f>
        <v>4981.2</v>
      </c>
      <c r="Q76" s="543"/>
      <c r="R76" s="513">
        <f>IF(R30="0","0",R190)</f>
        <v>5811.4</v>
      </c>
      <c r="S76" s="296"/>
      <c r="T76" s="513">
        <f>IF(T30="0","0",T190)</f>
        <v>0</v>
      </c>
      <c r="U76" s="296"/>
      <c r="V76" s="513">
        <f>IF(V30="0","0",V190)</f>
        <v>7471.8</v>
      </c>
      <c r="W76" s="296"/>
      <c r="X76" s="513">
        <f>IF(X30="0","0",X190)</f>
        <v>0</v>
      </c>
      <c r="Y76" s="43"/>
    </row>
    <row r="77" spans="1:27" x14ac:dyDescent="0.45">
      <c r="A77" s="541" t="str">
        <f>MKT!A10</f>
        <v>Southeast</v>
      </c>
      <c r="B77" s="527"/>
      <c r="C77" s="527"/>
      <c r="D77" s="527"/>
      <c r="E77" s="43"/>
      <c r="F77" s="513">
        <f>IF(F31="0","0",F195)</f>
        <v>0</v>
      </c>
      <c r="G77" s="506"/>
      <c r="H77" s="513">
        <f>IF(H31="0","0",H195)</f>
        <v>0</v>
      </c>
      <c r="I77" s="506"/>
      <c r="J77" s="513">
        <f t="shared" ref="J77" si="23">IF(J31="0","0",J183)</f>
        <v>28</v>
      </c>
      <c r="K77" s="508"/>
      <c r="L77" s="538">
        <f t="shared" ref="L77" si="24">IF(L31="0","0",L183)</f>
        <v>90</v>
      </c>
      <c r="M77" s="543"/>
      <c r="N77" s="538">
        <f t="shared" ref="N77" si="25">IF(N31="0","0",N183)</f>
        <v>203</v>
      </c>
      <c r="O77" s="543"/>
      <c r="P77" s="538">
        <f t="shared" ref="P77" si="26">IF(P31="0","0",P183)</f>
        <v>248</v>
      </c>
      <c r="Q77" s="543"/>
      <c r="R77" s="538">
        <f t="shared" ref="R77" si="27">IF(R31="0","0",R183)</f>
        <v>297</v>
      </c>
      <c r="S77" s="296"/>
      <c r="T77" s="538">
        <f t="shared" ref="T77" si="28">IF(T31="0","0",T183)</f>
        <v>318</v>
      </c>
      <c r="U77" s="296"/>
      <c r="V77" s="538">
        <f t="shared" ref="V77" si="29">IF(V31="0","0",V183)</f>
        <v>340</v>
      </c>
      <c r="W77" s="296"/>
      <c r="X77" s="539">
        <f>IF(X31="","-",X195)</f>
        <v>0</v>
      </c>
      <c r="Y77" s="43"/>
    </row>
    <row r="78" spans="1:27" x14ac:dyDescent="0.45">
      <c r="A78" s="541" t="str">
        <f>MKT!A11</f>
        <v>Northwest</v>
      </c>
      <c r="B78" s="527"/>
      <c r="C78" s="527"/>
      <c r="D78" s="527"/>
      <c r="E78" s="43"/>
      <c r="F78" s="513">
        <f>IF(F32="0","0",F200)</f>
        <v>0</v>
      </c>
      <c r="G78" s="506"/>
      <c r="H78" s="513">
        <f>IF(H32="0","0",H200)</f>
        <v>0</v>
      </c>
      <c r="I78" s="506"/>
      <c r="J78" s="513">
        <f>IF(J32="0","0",J200)</f>
        <v>0</v>
      </c>
      <c r="K78" s="508"/>
      <c r="L78" s="513">
        <f>IF(L32="0","0",L200)</f>
        <v>5228.8</v>
      </c>
      <c r="M78" s="543"/>
      <c r="N78" s="513">
        <f>IF(N32="0","0",N200)</f>
        <v>6536</v>
      </c>
      <c r="O78" s="543"/>
      <c r="P78" s="513">
        <f>IF(P32="0","0",P200)</f>
        <v>3921.6</v>
      </c>
      <c r="Q78" s="543"/>
      <c r="R78" s="513">
        <f>IF(R32="0","0",R200)</f>
        <v>4575.2</v>
      </c>
      <c r="S78" s="296"/>
      <c r="T78" s="513">
        <f>IF(T32="0","0",T200)</f>
        <v>0</v>
      </c>
      <c r="U78" s="296"/>
      <c r="V78" s="513">
        <f>IF(V32="0","0",V200)</f>
        <v>5882.4000000000005</v>
      </c>
      <c r="W78" s="296"/>
      <c r="X78" s="513">
        <f>IF(X32="0","0",X200)</f>
        <v>0</v>
      </c>
      <c r="Y78" s="43"/>
    </row>
    <row r="79" spans="1:27" x14ac:dyDescent="0.45">
      <c r="A79" s="541" t="str">
        <f>MKT!A12</f>
        <v>East of England</v>
      </c>
      <c r="B79" s="527"/>
      <c r="C79" s="527"/>
      <c r="D79" s="527"/>
      <c r="E79" s="43"/>
      <c r="F79" s="513">
        <f>IF(F33="0","0",F205)</f>
        <v>0</v>
      </c>
      <c r="G79" s="506"/>
      <c r="H79" s="513">
        <f>IF(H33="0","0",H205)</f>
        <v>0</v>
      </c>
      <c r="I79" s="506"/>
      <c r="J79" s="513">
        <f>IF(J33="0","0",J205)</f>
        <v>0</v>
      </c>
      <c r="K79" s="508"/>
      <c r="L79" s="513">
        <f>IF(L33="0","0",L205)</f>
        <v>2808.8</v>
      </c>
      <c r="M79" s="543"/>
      <c r="N79" s="513">
        <f>IF(N33="0","0",N205)</f>
        <v>7022</v>
      </c>
      <c r="O79" s="543"/>
      <c r="P79" s="513">
        <f>IF(P33="0","0",P205)</f>
        <v>4213.2</v>
      </c>
      <c r="Q79" s="543"/>
      <c r="R79" s="513">
        <f>IF(R33="0","0",R205)</f>
        <v>4915.3999999999996</v>
      </c>
      <c r="S79" s="296"/>
      <c r="T79" s="513">
        <f>IF(T33="0","0",T205)</f>
        <v>0</v>
      </c>
      <c r="U79" s="296"/>
      <c r="V79" s="513">
        <f>IF(V33="0","0",V205)</f>
        <v>6319.8</v>
      </c>
      <c r="W79" s="296"/>
      <c r="X79" s="513">
        <f>IF(X33="0","0",X205)</f>
        <v>0</v>
      </c>
      <c r="Y79" s="43"/>
    </row>
    <row r="80" spans="1:27" x14ac:dyDescent="0.45">
      <c r="A80" s="541" t="str">
        <f>MKT!A13</f>
        <v>West Midlands</v>
      </c>
      <c r="B80" s="527"/>
      <c r="C80" s="527"/>
      <c r="D80" s="527"/>
      <c r="E80" s="43"/>
      <c r="F80" s="513">
        <f>IF(F34="0","0",F210)</f>
        <v>0</v>
      </c>
      <c r="G80" s="506"/>
      <c r="H80" s="513">
        <f>IF(H34="0","0",H210)</f>
        <v>0</v>
      </c>
      <c r="I80" s="506"/>
      <c r="J80" s="513">
        <f>IF(J34="0","0",J210)</f>
        <v>0</v>
      </c>
      <c r="K80" s="508"/>
      <c r="L80" s="513">
        <f>IF(L34="0","0",L210)</f>
        <v>2408.8000000000002</v>
      </c>
      <c r="M80" s="543"/>
      <c r="N80" s="513">
        <f>IF(N34="0","0",N210)</f>
        <v>6022</v>
      </c>
      <c r="O80" s="543"/>
      <c r="P80" s="513">
        <f>IF(P34="0","0",P210)</f>
        <v>3613.2</v>
      </c>
      <c r="Q80" s="543"/>
      <c r="R80" s="513">
        <f>IF(R34="0","0",R210)</f>
        <v>4215.3999999999996</v>
      </c>
      <c r="S80" s="296"/>
      <c r="T80" s="513">
        <f>IF(T34="0","0",T210)</f>
        <v>0</v>
      </c>
      <c r="U80" s="296"/>
      <c r="V80" s="513">
        <f>IF(V34="0","0",V210)</f>
        <v>5419.8</v>
      </c>
      <c r="W80" s="296"/>
      <c r="X80" s="513">
        <f>IF(X34="0","0",X210)</f>
        <v>0</v>
      </c>
      <c r="Y80" s="43"/>
    </row>
    <row r="81" spans="1:27" x14ac:dyDescent="0.45">
      <c r="A81" s="541" t="str">
        <f>MKT!A14</f>
        <v>Southwest</v>
      </c>
      <c r="B81" s="527"/>
      <c r="C81" s="527"/>
      <c r="D81" s="527"/>
      <c r="E81" s="43"/>
      <c r="F81" s="513">
        <f>IF(F35="0","0",F215)</f>
        <v>0</v>
      </c>
      <c r="G81" s="506"/>
      <c r="H81" s="513">
        <f>IF(H35="0","0",H215)</f>
        <v>0</v>
      </c>
      <c r="I81" s="506"/>
      <c r="J81" s="513">
        <f>IF(J35="0","0",J215)</f>
        <v>1053.8999999999999</v>
      </c>
      <c r="K81" s="508"/>
      <c r="L81" s="513">
        <f>IF(L35="0","0",L215)</f>
        <v>1405.2</v>
      </c>
      <c r="M81" s="543"/>
      <c r="N81" s="513">
        <f>IF(N35="0","0",N215)</f>
        <v>7026</v>
      </c>
      <c r="O81" s="543"/>
      <c r="P81" s="513">
        <f>IF(P35="0","0",P215)</f>
        <v>2107.7999999999997</v>
      </c>
      <c r="Q81" s="543"/>
      <c r="R81" s="513">
        <f>IF(R35="0","0",R215)</f>
        <v>4918.2</v>
      </c>
      <c r="S81" s="296"/>
      <c r="T81" s="513">
        <f>IF(T35="0","0",T215)</f>
        <v>0</v>
      </c>
      <c r="U81" s="296"/>
      <c r="V81" s="513">
        <f>IF(V35="0","0",V215)</f>
        <v>3161.7000000000003</v>
      </c>
      <c r="W81" s="296"/>
      <c r="X81" s="513">
        <f>IF(X35="0","0",X215)</f>
        <v>3513</v>
      </c>
      <c r="Y81" s="43"/>
    </row>
    <row r="82" spans="1:27" x14ac:dyDescent="0.45">
      <c r="A82" s="541" t="str">
        <f>MKT!A15</f>
        <v>Yorkshire/Humber</v>
      </c>
      <c r="B82" s="527"/>
      <c r="C82" s="527"/>
      <c r="D82" s="527"/>
      <c r="E82" s="43"/>
      <c r="F82" s="513">
        <f>IF(F36="0","0",F220)</f>
        <v>0</v>
      </c>
      <c r="G82" s="506"/>
      <c r="H82" s="513">
        <f>IF(H36="0","0",H220)</f>
        <v>0</v>
      </c>
      <c r="I82" s="506"/>
      <c r="J82" s="513">
        <f>IF(J36="0","0",J220)</f>
        <v>0</v>
      </c>
      <c r="K82" s="508"/>
      <c r="L82" s="513">
        <f>IF(L36="0","0",L220)</f>
        <v>2263.6</v>
      </c>
      <c r="M82" s="543"/>
      <c r="N82" s="513">
        <f>IF(N36="0","0",N220)</f>
        <v>5659</v>
      </c>
      <c r="O82" s="543"/>
      <c r="P82" s="513">
        <f>IF(P36="0","0",P220)</f>
        <v>3395.4</v>
      </c>
      <c r="Q82" s="543"/>
      <c r="R82" s="513">
        <f>IF(R36="0","0",R220)</f>
        <v>3961.2999999999997</v>
      </c>
      <c r="S82" s="296"/>
      <c r="T82" s="513">
        <f>IF(T36="0","0",T220)</f>
        <v>0</v>
      </c>
      <c r="U82" s="296"/>
      <c r="V82" s="513">
        <f>IF(V36="0","0",V220)</f>
        <v>0</v>
      </c>
      <c r="W82" s="296"/>
      <c r="X82" s="513">
        <f>IF(X36="0","0",X220)</f>
        <v>5659</v>
      </c>
      <c r="Y82" s="43"/>
    </row>
    <row r="83" spans="1:27" x14ac:dyDescent="0.45">
      <c r="A83" s="541" t="str">
        <f>MKT!A16</f>
        <v>East Midlands</v>
      </c>
      <c r="B83" s="527"/>
      <c r="C83" s="527"/>
      <c r="D83" s="527"/>
      <c r="E83" s="43"/>
      <c r="F83" s="513">
        <f>IF(F37="0","0",F225)</f>
        <v>0</v>
      </c>
      <c r="G83" s="506"/>
      <c r="H83" s="513">
        <f>IF(H37="0","0",H225)</f>
        <v>0</v>
      </c>
      <c r="I83" s="506"/>
      <c r="J83" s="513">
        <f>IF(J37="0","0",J225)</f>
        <v>0</v>
      </c>
      <c r="K83" s="508"/>
      <c r="L83" s="513">
        <f>IF(L37="0","0",L225)</f>
        <v>2296</v>
      </c>
      <c r="M83" s="543"/>
      <c r="N83" s="513">
        <f>IF(N37="0","0",N225)</f>
        <v>5740</v>
      </c>
      <c r="O83" s="543"/>
      <c r="P83" s="513">
        <f>IF(P37="0","0",P225)</f>
        <v>0</v>
      </c>
      <c r="Q83" s="543"/>
      <c r="R83" s="513">
        <f>IF(R37="0","0",R225)</f>
        <v>4017.9999999999995</v>
      </c>
      <c r="S83" s="296"/>
      <c r="T83" s="513">
        <f>IF(T37="0","0",T225)</f>
        <v>0</v>
      </c>
      <c r="U83" s="296"/>
      <c r="V83" s="513">
        <f>IF(V37="0","0",V225)</f>
        <v>5166</v>
      </c>
      <c r="W83" s="296"/>
      <c r="X83" s="513">
        <f>IF(X37="0","0",X225)</f>
        <v>0</v>
      </c>
      <c r="Y83" s="43"/>
    </row>
    <row r="84" spans="1:27" x14ac:dyDescent="0.45">
      <c r="A84" s="541" t="str">
        <f>MKT!A17</f>
        <v>North East</v>
      </c>
      <c r="B84" s="527"/>
      <c r="C84" s="527"/>
      <c r="D84" s="527"/>
      <c r="E84" s="43"/>
      <c r="F84" s="513">
        <f>IF(F38="0","0",F230)</f>
        <v>0</v>
      </c>
      <c r="G84" s="506"/>
      <c r="H84" s="513">
        <f>IF(H38="0","0",H230)</f>
        <v>0</v>
      </c>
      <c r="I84" s="506"/>
      <c r="J84" s="513">
        <f>IF(J38="0","0",J230)</f>
        <v>0</v>
      </c>
      <c r="K84" s="508"/>
      <c r="L84" s="513">
        <f>IF(L38="0","0",L230)</f>
        <v>1590</v>
      </c>
      <c r="M84" s="543"/>
      <c r="N84" s="513">
        <f>IF(N38="0","0",N230)</f>
        <v>1987.5</v>
      </c>
      <c r="O84" s="543"/>
      <c r="P84" s="513">
        <f>IF(P38="0","0",P230)</f>
        <v>0</v>
      </c>
      <c r="Q84" s="543"/>
      <c r="R84" s="513">
        <f>IF(R38="0","0",R230)</f>
        <v>2782.5</v>
      </c>
      <c r="S84" s="296"/>
      <c r="T84" s="513">
        <f>IF(T38="0","0",T230)</f>
        <v>0</v>
      </c>
      <c r="U84" s="296"/>
      <c r="V84" s="513">
        <f>IF(V38="0","0",V230)</f>
        <v>0</v>
      </c>
      <c r="W84" s="296"/>
      <c r="X84" s="513">
        <f>IF(X38="0","0",X230)</f>
        <v>3975</v>
      </c>
      <c r="Y84" s="43"/>
    </row>
    <row r="85" spans="1:27" x14ac:dyDescent="0.45">
      <c r="A85" s="541" t="str">
        <f>MKT!A18</f>
        <v>Scotland</v>
      </c>
      <c r="B85" s="527"/>
      <c r="C85" s="527"/>
      <c r="D85" s="527"/>
      <c r="E85" s="43"/>
      <c r="F85" s="513">
        <f>IF(F39="0","0",F235)</f>
        <v>0</v>
      </c>
      <c r="G85" s="506"/>
      <c r="H85" s="513">
        <f>IF(H39="0","0",H235)</f>
        <v>0</v>
      </c>
      <c r="I85" s="506"/>
      <c r="J85" s="513">
        <f>IF(J39="0","0",J235)</f>
        <v>0</v>
      </c>
      <c r="K85" s="508"/>
      <c r="L85" s="513">
        <f>IF(L39="0","0",L235)</f>
        <v>3817.6000000000004</v>
      </c>
      <c r="M85" s="543"/>
      <c r="N85" s="513">
        <f>IF(N39="0","0",N235)</f>
        <v>4772</v>
      </c>
      <c r="O85" s="543"/>
      <c r="P85" s="513">
        <f>IF(P39="0","0",P235)</f>
        <v>2863.2</v>
      </c>
      <c r="Q85" s="543"/>
      <c r="R85" s="513">
        <f>IF(R39="0","0",R235)</f>
        <v>3340.3999999999996</v>
      </c>
      <c r="S85" s="296"/>
      <c r="T85" s="513">
        <f>IF(T39="0","0",T235)</f>
        <v>3817.6000000000004</v>
      </c>
      <c r="U85" s="296"/>
      <c r="V85" s="513">
        <f>IF(V39="0","0",V235)</f>
        <v>0</v>
      </c>
      <c r="W85" s="296"/>
      <c r="X85" s="513">
        <f>IF(X39="0","0",X235)</f>
        <v>4772</v>
      </c>
      <c r="Y85" s="43"/>
    </row>
    <row r="86" spans="1:27" x14ac:dyDescent="0.45">
      <c r="A86" s="541" t="str">
        <f>MKT!A19</f>
        <v>Wales</v>
      </c>
      <c r="B86" s="527"/>
      <c r="C86" s="527"/>
      <c r="D86" s="527"/>
      <c r="E86" s="43"/>
      <c r="F86" s="513">
        <f>IF(F40="0","0",F240)</f>
        <v>0</v>
      </c>
      <c r="G86" s="506"/>
      <c r="H86" s="513">
        <f>IF(H40="0","0",H240)</f>
        <v>0</v>
      </c>
      <c r="I86" s="506"/>
      <c r="J86" s="513">
        <f>IF(J40="0","0",J240)</f>
        <v>377.7</v>
      </c>
      <c r="K86" s="508"/>
      <c r="L86" s="513">
        <f>IF(L40="0","0",L240)</f>
        <v>1007.2</v>
      </c>
      <c r="M86" s="543"/>
      <c r="N86" s="513">
        <f>IF(N40="0","0",N240)</f>
        <v>3147.5</v>
      </c>
      <c r="O86" s="543"/>
      <c r="P86" s="513">
        <f>IF(P40="0","0",P240)</f>
        <v>1510.8</v>
      </c>
      <c r="Q86" s="543"/>
      <c r="R86" s="513">
        <f>IF(R40="0","0",R240)</f>
        <v>1762.6</v>
      </c>
      <c r="S86" s="296"/>
      <c r="T86" s="513">
        <f>IF(T40="0","0",T240)</f>
        <v>0</v>
      </c>
      <c r="U86" s="296"/>
      <c r="V86" s="513">
        <f>IF(V40="0","0",V240)</f>
        <v>1133.1000000000001</v>
      </c>
      <c r="W86" s="296"/>
      <c r="X86" s="513">
        <f>IF(X40="0","0",X240)</f>
        <v>1259</v>
      </c>
      <c r="Y86" s="43"/>
    </row>
    <row r="87" spans="1:27" x14ac:dyDescent="0.45">
      <c r="A87" s="541" t="str">
        <f>MKT!A20</f>
        <v>Northern Ireland</v>
      </c>
      <c r="B87" s="527"/>
      <c r="C87" s="527"/>
      <c r="D87" s="527"/>
      <c r="E87" s="43"/>
      <c r="F87" s="513">
        <f>IF(F41="0","0",F245)</f>
        <v>0</v>
      </c>
      <c r="G87" s="506"/>
      <c r="H87" s="513">
        <f>IF(H41="0","0",H245)</f>
        <v>0</v>
      </c>
      <c r="I87" s="506"/>
      <c r="J87" s="513">
        <f>IF(J41="0","0",J245)</f>
        <v>0</v>
      </c>
      <c r="K87" s="508"/>
      <c r="L87" s="513">
        <f>IF(L41="0","0",L245)</f>
        <v>1364.8000000000002</v>
      </c>
      <c r="M87" s="543"/>
      <c r="N87" s="513">
        <f>IF(N41="0","0",N245)</f>
        <v>1706</v>
      </c>
      <c r="O87" s="543"/>
      <c r="P87" s="513">
        <f>IF(P41="0","0",P245)</f>
        <v>0</v>
      </c>
      <c r="Q87" s="543"/>
      <c r="R87" s="513">
        <f>IF(R41="0","0",R245)</f>
        <v>2388.3999999999996</v>
      </c>
      <c r="S87" s="296"/>
      <c r="T87" s="513">
        <f>IF(T41="0","0",T245)</f>
        <v>0</v>
      </c>
      <c r="U87" s="296"/>
      <c r="V87" s="513">
        <f>IF(V41="0","0",V245)</f>
        <v>0</v>
      </c>
      <c r="W87" s="296"/>
      <c r="X87" s="513">
        <f>IF(X41="0","0",X245)</f>
        <v>0</v>
      </c>
      <c r="Y87" s="43"/>
    </row>
    <row r="88" spans="1:27" x14ac:dyDescent="0.45">
      <c r="A88" s="541" t="str">
        <f>MKT!A21</f>
        <v xml:space="preserve"> </v>
      </c>
      <c r="B88" s="527"/>
      <c r="C88" s="527"/>
      <c r="D88" s="527"/>
      <c r="E88" s="43"/>
      <c r="F88" s="513" t="str">
        <f>IF(F42="0","0",F250)</f>
        <v>0</v>
      </c>
      <c r="G88" s="506"/>
      <c r="H88" s="513" t="str">
        <f>IF(H42="0","0",H250)</f>
        <v>0</v>
      </c>
      <c r="I88" s="506"/>
      <c r="J88" s="513" t="str">
        <f>IF(J42="0","0",J250)</f>
        <v>0</v>
      </c>
      <c r="K88" s="508"/>
      <c r="L88" s="513" t="str">
        <f>IF(L42="0","0",L250)</f>
        <v>0</v>
      </c>
      <c r="M88" s="543"/>
      <c r="N88" s="513" t="str">
        <f>IF(N42="0","0",N250)</f>
        <v>0</v>
      </c>
      <c r="O88" s="543"/>
      <c r="P88" s="513" t="str">
        <f>IF(P42="0","0",P250)</f>
        <v>0</v>
      </c>
      <c r="Q88" s="543"/>
      <c r="R88" s="513" t="str">
        <f>IF(R42="0","0",R250)</f>
        <v>0</v>
      </c>
      <c r="S88" s="296"/>
      <c r="T88" s="513" t="str">
        <f>IF(T42="0","0",T250)</f>
        <v>0</v>
      </c>
      <c r="U88" s="296"/>
      <c r="V88" s="513" t="str">
        <f>IF(V42="0","0",V250)</f>
        <v>0</v>
      </c>
      <c r="W88" s="296"/>
      <c r="X88" s="513" t="str">
        <f>IF(X42="0","0",X250)</f>
        <v>0</v>
      </c>
      <c r="Y88" s="43"/>
    </row>
    <row r="89" spans="1:27" x14ac:dyDescent="0.45">
      <c r="A89" s="541" t="str">
        <f>MKT!A22</f>
        <v xml:space="preserve"> </v>
      </c>
      <c r="B89" s="527"/>
      <c r="C89" s="527"/>
      <c r="D89" s="527"/>
      <c r="E89" s="43"/>
      <c r="F89" s="513" t="str">
        <f>IF(F43="0","0",F255)</f>
        <v>0</v>
      </c>
      <c r="G89" s="506"/>
      <c r="H89" s="513" t="str">
        <f>IF(H43="0","0",H255)</f>
        <v>0</v>
      </c>
      <c r="I89" s="506"/>
      <c r="J89" s="513" t="str">
        <f>IF(J43="0","0",J255)</f>
        <v>0</v>
      </c>
      <c r="K89" s="508"/>
      <c r="L89" s="513" t="str">
        <f>IF(L43="0","0",L255)</f>
        <v>0</v>
      </c>
      <c r="M89" s="543"/>
      <c r="N89" s="513" t="str">
        <f>IF(N43="0","0",N255)</f>
        <v>0</v>
      </c>
      <c r="O89" s="543"/>
      <c r="P89" s="513" t="str">
        <f>IF(P43="0","0",P255)</f>
        <v>0</v>
      </c>
      <c r="Q89" s="543"/>
      <c r="R89" s="513" t="str">
        <f>IF(R43="0","0",R255)</f>
        <v>0</v>
      </c>
      <c r="S89" s="296"/>
      <c r="T89" s="513" t="str">
        <f>IF(T43="0","0",T255)</f>
        <v>0</v>
      </c>
      <c r="U89" s="296"/>
      <c r="V89" s="513" t="str">
        <f>IF(V43="0","0",V255)</f>
        <v>0</v>
      </c>
      <c r="W89" s="296"/>
      <c r="X89" s="513" t="str">
        <f>IF(X43="0","0",X255)</f>
        <v>0</v>
      </c>
      <c r="Y89" s="43"/>
    </row>
    <row r="90" spans="1:27" x14ac:dyDescent="0.45">
      <c r="A90" s="541" t="s">
        <v>6</v>
      </c>
      <c r="B90" s="527"/>
      <c r="C90" s="527"/>
      <c r="D90" s="527"/>
      <c r="E90" s="527"/>
      <c r="F90" s="506">
        <f>SUM(F74:F89)</f>
        <v>0</v>
      </c>
      <c r="G90" s="506"/>
      <c r="H90" s="506">
        <f>SUM(H74:H89)</f>
        <v>0</v>
      </c>
      <c r="I90" s="506"/>
      <c r="J90" s="506">
        <f>SUM(J74:J89)</f>
        <v>2148.1</v>
      </c>
      <c r="K90" s="508"/>
      <c r="L90" s="539">
        <f>SUM(L74:L89)</f>
        <v>34141.599999999999</v>
      </c>
      <c r="M90" s="543"/>
      <c r="N90" s="539">
        <f>SUM(N74:N89)</f>
        <v>69174.5</v>
      </c>
      <c r="O90" s="543"/>
      <c r="P90" s="539">
        <f>SUM(P74:P89)</f>
        <v>30306.2</v>
      </c>
      <c r="Q90" s="543"/>
      <c r="R90" s="539">
        <f>SUM(R74:R89)</f>
        <v>47012.9</v>
      </c>
      <c r="S90" s="296"/>
      <c r="T90" s="539">
        <f>SUM(T74:T89)</f>
        <v>5971.6</v>
      </c>
      <c r="U90" s="296"/>
      <c r="V90" s="539">
        <f>SUM(V74:V89)</f>
        <v>36960.1</v>
      </c>
      <c r="W90" s="296"/>
      <c r="X90" s="539">
        <f>SUM(X74:X89)</f>
        <v>22636</v>
      </c>
      <c r="Y90" s="43"/>
    </row>
    <row r="91" spans="1:27" x14ac:dyDescent="0.45">
      <c r="A91" s="424"/>
      <c r="B91" s="426"/>
      <c r="C91" s="426"/>
      <c r="D91" s="426"/>
      <c r="E91" s="426"/>
      <c r="F91" s="427"/>
      <c r="G91" s="428"/>
      <c r="H91" s="427"/>
      <c r="I91" s="428"/>
      <c r="J91" s="529"/>
      <c r="K91" s="436"/>
      <c r="L91" s="530"/>
      <c r="M91" s="437"/>
      <c r="N91" s="530"/>
      <c r="O91" s="437"/>
      <c r="P91" s="530"/>
      <c r="Q91" s="437"/>
      <c r="R91" s="531"/>
      <c r="S91" s="433"/>
      <c r="T91" s="531"/>
      <c r="U91" s="433"/>
      <c r="V91" s="531"/>
      <c r="W91" s="433"/>
      <c r="X91" s="531"/>
      <c r="Y91" s="432"/>
    </row>
    <row r="92" spans="1:27" x14ac:dyDescent="0.45">
      <c r="A92" s="424"/>
      <c r="B92" s="426"/>
      <c r="C92" s="426"/>
      <c r="D92" s="426"/>
      <c r="E92" s="426"/>
      <c r="F92" s="427"/>
      <c r="G92" s="428"/>
      <c r="H92" s="427"/>
      <c r="I92" s="428"/>
      <c r="J92" s="529"/>
      <c r="K92" s="436"/>
      <c r="L92" s="530"/>
      <c r="M92" s="437"/>
      <c r="N92" s="530"/>
      <c r="O92" s="437"/>
      <c r="P92" s="530"/>
      <c r="Q92" s="437"/>
      <c r="R92" s="545"/>
      <c r="S92" s="438"/>
      <c r="T92" s="545"/>
      <c r="U92" s="438"/>
      <c r="V92" s="545"/>
      <c r="W92" s="438"/>
      <c r="X92" s="545"/>
      <c r="Y92" s="439"/>
      <c r="Z92" s="369"/>
      <c r="AA92" s="369"/>
    </row>
    <row r="93" spans="1:27" x14ac:dyDescent="0.45">
      <c r="A93" s="546" t="s">
        <v>210</v>
      </c>
      <c r="B93" s="547"/>
      <c r="C93" s="547"/>
      <c r="D93" s="547"/>
      <c r="E93" s="547"/>
      <c r="F93" s="548"/>
      <c r="G93" s="548"/>
      <c r="H93" s="548"/>
      <c r="I93" s="548"/>
      <c r="J93" s="549"/>
      <c r="K93" s="550"/>
      <c r="L93" s="551"/>
      <c r="M93" s="551"/>
      <c r="N93" s="551"/>
      <c r="O93" s="551"/>
      <c r="P93" s="551"/>
      <c r="Q93" s="551"/>
      <c r="R93" s="552"/>
      <c r="S93" s="552"/>
      <c r="T93" s="552"/>
      <c r="U93" s="552"/>
      <c r="V93" s="552"/>
      <c r="W93" s="552"/>
      <c r="X93" s="552"/>
      <c r="Y93" s="553"/>
    </row>
    <row r="94" spans="1:27" x14ac:dyDescent="0.45">
      <c r="A94" s="336" t="str">
        <f>MKT!A7</f>
        <v>London inner 1</v>
      </c>
      <c r="B94" s="527"/>
      <c r="C94" s="527"/>
      <c r="D94" s="527"/>
      <c r="E94" s="527"/>
      <c r="F94" s="554">
        <f>IF(F28="0","0",(F55*$C$10)+(F180*$D$10))</f>
        <v>232600.00000000003</v>
      </c>
      <c r="G94" s="555"/>
      <c r="H94" s="554">
        <f>IF(H28="0","0",(H55*$C$10)+(H180*$D$10))</f>
        <v>232600.00000000003</v>
      </c>
      <c r="I94" s="555"/>
      <c r="J94" s="554">
        <f>IF(J28="0","0",(J55*$C$10)+(J180*$D$10))</f>
        <v>581499.99999999988</v>
      </c>
      <c r="K94" s="556"/>
      <c r="L94" s="554">
        <f>IF(L28="0","0",(L55*$C$10)+(L180*$D$10))</f>
        <v>2093400.0000000005</v>
      </c>
      <c r="M94" s="557"/>
      <c r="N94" s="554">
        <f>IF(N28="0","0",(N55*$C$10)+(N180*$D$10))</f>
        <v>4303100</v>
      </c>
      <c r="O94" s="557"/>
      <c r="P94" s="554">
        <f>IF(P28="0","0",(P55*$C$10)+(P180*$D$10))</f>
        <v>2325999.9999999995</v>
      </c>
      <c r="Q94" s="557"/>
      <c r="R94" s="554">
        <f>IF(R28="0","0",(R55*$C$10)+(R180*$D$10))</f>
        <v>2674899.9999999995</v>
      </c>
      <c r="S94" s="557"/>
      <c r="T94" s="554">
        <f>IF(T28="0","0",(T55*$C$10)+(T180*$D$10))</f>
        <v>1163000.0000000005</v>
      </c>
      <c r="U94" s="557"/>
      <c r="V94" s="554">
        <f>IF(V28="0","0",(V55*$C$10)+(V180*$D$10))</f>
        <v>1279300</v>
      </c>
      <c r="W94" s="557"/>
      <c r="X94" s="554">
        <f>IF(X28="0","0",(X55*$C$10)+(X180*$D$10))</f>
        <v>2558600</v>
      </c>
      <c r="Y94" s="557"/>
      <c r="Z94" s="558"/>
      <c r="AA94" s="558"/>
    </row>
    <row r="95" spans="1:27" x14ac:dyDescent="0.45">
      <c r="A95" s="336" t="str">
        <f>MKT!A8</f>
        <v>London inner 2</v>
      </c>
      <c r="B95" s="527"/>
      <c r="C95" s="527"/>
      <c r="D95" s="527"/>
      <c r="E95" s="527"/>
      <c r="F95" s="554">
        <f>IF(F29="0","0",(F56*$C$10)+(F185*$D$10))</f>
        <v>226400</v>
      </c>
      <c r="G95" s="555"/>
      <c r="H95" s="554">
        <f>IF(H29="0","0",(H56*$C$10)+(H185*$D$10))</f>
        <v>226400</v>
      </c>
      <c r="I95" s="555"/>
      <c r="J95" s="554">
        <f>IF(J29="0","0",(J56*$C$10)+(J185*$D$10))</f>
        <v>565999.99999999988</v>
      </c>
      <c r="K95" s="556"/>
      <c r="L95" s="554">
        <f>IF(L29="0","0",(L56*$C$10)+(L185*$D$10))</f>
        <v>1584800</v>
      </c>
      <c r="M95" s="557"/>
      <c r="N95" s="554">
        <f>IF(N29="0","0",(N56*$C$10)+(N185*$D$10))</f>
        <v>3056400</v>
      </c>
      <c r="O95" s="557"/>
      <c r="P95" s="554">
        <f>IF(P29="0","0",(P56*$C$10)+(P185*$D$10))</f>
        <v>1584799.9999999995</v>
      </c>
      <c r="Q95" s="557"/>
      <c r="R95" s="554">
        <f>IF(R29="0","0",(R56*$C$10)+(R185*$D$10))</f>
        <v>1811200</v>
      </c>
      <c r="S95" s="557"/>
      <c r="T95" s="554">
        <f>IF(T29="0","0",(T56*$C$10)+(T185*$D$10))</f>
        <v>1132000</v>
      </c>
      <c r="U95" s="557"/>
      <c r="V95" s="554">
        <f>IF(V29="0","0",(V56*$C$10)+(V185*$D$10))</f>
        <v>1245200.0000000002</v>
      </c>
      <c r="W95" s="557"/>
      <c r="X95" s="554">
        <f>IF(X29="0","0",(X56*$C$10)+(X185*$D$10))</f>
        <v>1358399.9999999998</v>
      </c>
      <c r="Y95" s="557"/>
      <c r="Z95" s="558"/>
      <c r="AA95" s="558"/>
    </row>
    <row r="96" spans="1:27" x14ac:dyDescent="0.45">
      <c r="A96" s="336" t="str">
        <f>MKT!A9</f>
        <v>London outer</v>
      </c>
      <c r="B96" s="527"/>
      <c r="C96" s="527"/>
      <c r="D96" s="527"/>
      <c r="E96" s="527"/>
      <c r="F96" s="554">
        <f>IF(F30="0","0",(F57*$C$10)+(F190*$D$10))</f>
        <v>1660400</v>
      </c>
      <c r="G96" s="555"/>
      <c r="H96" s="554">
        <f>IF(H30="0","0",(H57*$C$10)+(H190*$D$10))</f>
        <v>1660400</v>
      </c>
      <c r="I96" s="555"/>
      <c r="J96" s="554">
        <f>IF(J30="0","0",(J57*$C$10)+(J190*$D$10))</f>
        <v>1660399.9999999995</v>
      </c>
      <c r="K96" s="556"/>
      <c r="L96" s="554">
        <f>IF(L30="0","0",(L57*$C$10)+(L190*$D$10))</f>
        <v>8302000</v>
      </c>
      <c r="M96" s="557"/>
      <c r="N96" s="554">
        <f>IF(N30="0","0",(N57*$C$10)+(N190*$D$10))</f>
        <v>14113400</v>
      </c>
      <c r="O96" s="557"/>
      <c r="P96" s="554">
        <f>IF(P30="0","0",(P57*$C$10)+(P190*$D$10))</f>
        <v>6641600</v>
      </c>
      <c r="Q96" s="557"/>
      <c r="R96" s="554">
        <f>IF(R30="0","0",(R57*$C$10)+(R190*$D$10))</f>
        <v>7471800</v>
      </c>
      <c r="S96" s="557"/>
      <c r="T96" s="554">
        <f>IF(T30="0","0",(T57*$C$10)+(T190*$D$10))</f>
        <v>1660400.0000000014</v>
      </c>
      <c r="U96" s="557"/>
      <c r="V96" s="554">
        <f>IF(V30="0","0",(V57*$C$10)+(V190*$D$10))</f>
        <v>9132200</v>
      </c>
      <c r="W96" s="557"/>
      <c r="X96" s="554">
        <f>IF(X30="0","0",(X57*$C$10)+(X190*$D$10))</f>
        <v>1660399.9999999995</v>
      </c>
      <c r="Y96" s="557"/>
      <c r="Z96" s="558"/>
      <c r="AA96" s="558"/>
    </row>
    <row r="97" spans="1:27" x14ac:dyDescent="0.45">
      <c r="A97" s="336" t="str">
        <f>MKT!A10</f>
        <v>Southeast</v>
      </c>
      <c r="B97" s="527"/>
      <c r="C97" s="527"/>
      <c r="D97" s="527"/>
      <c r="E97" s="527"/>
      <c r="F97" s="554">
        <f>IF(F31="0","0",(F58*$C$10)+(F195*$D$10))</f>
        <v>2377000</v>
      </c>
      <c r="G97" s="555"/>
      <c r="H97" s="554">
        <f>IF(H31="0","0",(H58*$C$10)+(H195*$D$10))</f>
        <v>2377000</v>
      </c>
      <c r="I97" s="555"/>
      <c r="J97" s="554">
        <f>IF(J31="0","0",(J58*$C$10)+(J195*$D$10))</f>
        <v>2377000</v>
      </c>
      <c r="K97" s="556"/>
      <c r="L97" s="554">
        <f>IF(L31="0","0",(L58*$C$10)+(L195*$D$10))</f>
        <v>7131000</v>
      </c>
      <c r="M97" s="557"/>
      <c r="N97" s="554">
        <f>IF(N31="0","0",(N58*$C$10)+(N195*$D$10))</f>
        <v>14262000</v>
      </c>
      <c r="O97" s="557"/>
      <c r="P97" s="554">
        <f>IF(P31="0","0",(P58*$C$10)+(P195*$D$10))</f>
        <v>9508000</v>
      </c>
      <c r="Q97" s="557"/>
      <c r="R97" s="554">
        <f>IF(R31="0","0",(R58*$C$10)+(R195*$D$10))</f>
        <v>10696500</v>
      </c>
      <c r="S97" s="557"/>
      <c r="T97" s="554">
        <f>IF(T31="0","0",(T58*$C$10)+(T195*$D$10))</f>
        <v>2377000</v>
      </c>
      <c r="U97" s="557"/>
      <c r="V97" s="554">
        <f>IF(V31="0","0",(V58*$C$10)+(V195*$D$10))</f>
        <v>13073500</v>
      </c>
      <c r="W97" s="557"/>
      <c r="X97" s="554">
        <f>IF(X31="0","0",(X58*$C$10)+(X195*$D$10))</f>
        <v>2377000</v>
      </c>
      <c r="Y97" s="557"/>
      <c r="Z97" s="558"/>
      <c r="AA97" s="558"/>
    </row>
    <row r="98" spans="1:27" x14ac:dyDescent="0.45">
      <c r="A98" s="336" t="str">
        <f>MKT!A11</f>
        <v>Northwest</v>
      </c>
      <c r="B98" s="527"/>
      <c r="C98" s="527"/>
      <c r="D98" s="527"/>
      <c r="E98" s="527"/>
      <c r="F98" s="554">
        <f>IF(F32="0","0",(F59*$C$10)+(F200*$D$10))</f>
        <v>1307200</v>
      </c>
      <c r="G98" s="555"/>
      <c r="H98" s="554">
        <f>IF(H32="0","0",(H59*$C$10)+(H200*$D$10))</f>
        <v>1307200</v>
      </c>
      <c r="I98" s="555"/>
      <c r="J98" s="554">
        <f>IF(J32="0","0",(J59*$C$10)+(J200*$D$10))</f>
        <v>1307199.9999999998</v>
      </c>
      <c r="K98" s="556"/>
      <c r="L98" s="554">
        <f>IF(L32="0","0",(L59*$C$10)+(L200*$D$10))</f>
        <v>6536000</v>
      </c>
      <c r="M98" s="557"/>
      <c r="N98" s="554">
        <f>IF(N32="0","0",(N59*$C$10)+(N200*$D$10))</f>
        <v>7843200</v>
      </c>
      <c r="O98" s="557"/>
      <c r="P98" s="554">
        <f>IF(P32="0","0",(P59*$C$10)+(P200*$D$10))</f>
        <v>5228800</v>
      </c>
      <c r="Q98" s="557"/>
      <c r="R98" s="554">
        <f>IF(R32="0","0",(R59*$C$10)+(R200*$D$10))</f>
        <v>5882400</v>
      </c>
      <c r="S98" s="557"/>
      <c r="T98" s="554">
        <f>IF(T32="0","0",(T59*$C$10)+(T200*$D$10))</f>
        <v>1307200.0000000007</v>
      </c>
      <c r="U98" s="557"/>
      <c r="V98" s="554">
        <f>IF(V32="0","0",(V59*$C$10)+(V200*$D$10))</f>
        <v>7189600.0000000019</v>
      </c>
      <c r="W98" s="557"/>
      <c r="X98" s="554">
        <f>IF(X32="0","0",(X59*$C$10)+(X200*$D$10))</f>
        <v>1307199.9999999988</v>
      </c>
      <c r="Y98" s="557"/>
      <c r="Z98" s="558"/>
      <c r="AA98" s="558"/>
    </row>
    <row r="99" spans="1:27" x14ac:dyDescent="0.45">
      <c r="A99" s="336" t="str">
        <f>MKT!A12</f>
        <v>East of England</v>
      </c>
      <c r="B99" s="527"/>
      <c r="C99" s="527"/>
      <c r="D99" s="527"/>
      <c r="E99" s="527"/>
      <c r="F99" s="554">
        <f>IF(F33="0","0",(F60*$C$10)+(F205*$D$10))</f>
        <v>1404400</v>
      </c>
      <c r="G99" s="555"/>
      <c r="H99" s="554">
        <f>IF(H33="0","0",(H60*$C$10)+(H205*$D$10))</f>
        <v>1404400</v>
      </c>
      <c r="I99" s="555"/>
      <c r="J99" s="554">
        <f>IF(J33="0","0",(J60*$C$10)+(J205*$D$10))</f>
        <v>1404399.9999999995</v>
      </c>
      <c r="K99" s="556"/>
      <c r="L99" s="554">
        <f>IF(L33="0","0",(L60*$C$10)+(L205*$D$10))</f>
        <v>4213200</v>
      </c>
      <c r="M99" s="557"/>
      <c r="N99" s="554">
        <f>IF(N33="0","0",(N60*$C$10)+(N205*$D$10))</f>
        <v>8426400</v>
      </c>
      <c r="O99" s="557"/>
      <c r="P99" s="554">
        <f>IF(P33="0","0",(P60*$C$10)+(P205*$D$10))</f>
        <v>5617600</v>
      </c>
      <c r="Q99" s="557"/>
      <c r="R99" s="554">
        <f>IF(R33="0","0",(R60*$C$10)+(R205*$D$10))</f>
        <v>6319800</v>
      </c>
      <c r="S99" s="557"/>
      <c r="T99" s="554">
        <f>IF(T33="0","0",(T60*$C$10)+(T205*$D$10))</f>
        <v>1404400.0000000014</v>
      </c>
      <c r="U99" s="557"/>
      <c r="V99" s="554">
        <f>IF(V33="0","0",(V60*$C$10)+(V205*$D$10))</f>
        <v>7724200</v>
      </c>
      <c r="W99" s="557"/>
      <c r="X99" s="554">
        <f>IF(X33="0","0",(X60*$C$10)+(X205*$D$10))</f>
        <v>1404399.9999999995</v>
      </c>
      <c r="Y99" s="557"/>
      <c r="Z99" s="558"/>
      <c r="AA99" s="558"/>
    </row>
    <row r="100" spans="1:27" x14ac:dyDescent="0.45">
      <c r="A100" s="336" t="str">
        <f>MKT!A13</f>
        <v>West Midlands</v>
      </c>
      <c r="B100" s="527"/>
      <c r="C100" s="527"/>
      <c r="D100" s="527"/>
      <c r="E100" s="527"/>
      <c r="F100" s="554">
        <f>IF(F34="0","0",(F61*$C$10)+(F210*$D$10))</f>
        <v>1204400</v>
      </c>
      <c r="G100" s="555"/>
      <c r="H100" s="554">
        <f>IF(H34="0","0",(H61*$C$10)+(H210*$D$10))</f>
        <v>1204400</v>
      </c>
      <c r="I100" s="555"/>
      <c r="J100" s="554">
        <f>IF(J34="0","0",(J61*$C$10)+(J210*$D$10))</f>
        <v>1204399.9999999995</v>
      </c>
      <c r="K100" s="556"/>
      <c r="L100" s="554">
        <f>IF(L34="0","0",(L61*$C$10)+(L210*$D$10))</f>
        <v>3613200.0000000005</v>
      </c>
      <c r="M100" s="557"/>
      <c r="N100" s="554">
        <f>IF(N34="0","0",(N61*$C$10)+(N210*$D$10))</f>
        <v>7226400</v>
      </c>
      <c r="O100" s="557"/>
      <c r="P100" s="554">
        <f>IF(P34="0","0",(P61*$C$10)+(P210*$D$10))</f>
        <v>4817600</v>
      </c>
      <c r="Q100" s="557"/>
      <c r="R100" s="554">
        <f>IF(R34="0","0",(R61*$C$10)+(R210*$D$10))</f>
        <v>5419800</v>
      </c>
      <c r="S100" s="557"/>
      <c r="T100" s="554">
        <f>IF(T34="0","0",(T61*$C$10)+(T210*$D$10))</f>
        <v>1204400.0000000014</v>
      </c>
      <c r="U100" s="557"/>
      <c r="V100" s="554">
        <f>IF(V34="0","0",(V61*$C$10)+(V210*$D$10))</f>
        <v>6624200</v>
      </c>
      <c r="W100" s="557"/>
      <c r="X100" s="554">
        <f>IF(X34="0","0",(X61*$C$10)+(X210*$D$10))</f>
        <v>1204399.9999999995</v>
      </c>
      <c r="Y100" s="557"/>
      <c r="Z100" s="558"/>
      <c r="AA100" s="558"/>
    </row>
    <row r="101" spans="1:27" x14ac:dyDescent="0.45">
      <c r="A101" s="336" t="str">
        <f>MKT!A14</f>
        <v>Southwest</v>
      </c>
      <c r="B101" s="527"/>
      <c r="C101" s="527"/>
      <c r="D101" s="527"/>
      <c r="E101" s="527"/>
      <c r="F101" s="554">
        <f>IF(F35="0","0",(F62*$C$10)+(F215*$D$10))</f>
        <v>702600</v>
      </c>
      <c r="G101" s="555"/>
      <c r="H101" s="554">
        <f>IF(H35="0","0",(H62*$C$10)+(H215*$D$10))</f>
        <v>702600</v>
      </c>
      <c r="I101" s="555"/>
      <c r="J101" s="554">
        <f>IF(J35="0","0",(J62*$C$10)+(J215*$D$10))</f>
        <v>1756499.9999999995</v>
      </c>
      <c r="K101" s="556"/>
      <c r="L101" s="554">
        <f>IF(L35="0","0",(L62*$C$10)+(L215*$D$10))</f>
        <v>2107800.0000000005</v>
      </c>
      <c r="M101" s="557"/>
      <c r="N101" s="554">
        <f>IF(N35="0","0",(N62*$C$10)+(N215*$D$10))</f>
        <v>7728600</v>
      </c>
      <c r="O101" s="557"/>
      <c r="P101" s="554">
        <f>IF(P35="0","0",(P62*$C$10)+(P215*$D$10))</f>
        <v>2810399.9999999991</v>
      </c>
      <c r="Q101" s="557"/>
      <c r="R101" s="554">
        <f>IF(R35="0","0",(R62*$C$10)+(R215*$D$10))</f>
        <v>5620800</v>
      </c>
      <c r="S101" s="557"/>
      <c r="T101" s="554">
        <f>IF(T35="0","0",(T62*$C$10)+(T215*$D$10))</f>
        <v>702600.00000000035</v>
      </c>
      <c r="U101" s="557"/>
      <c r="V101" s="554">
        <f>IF(V35="0","0",(V62*$C$10)+(V215*$D$10))</f>
        <v>3864300.0000000009</v>
      </c>
      <c r="W101" s="557"/>
      <c r="X101" s="554">
        <f>IF(X35="0","0",(X62*$C$10)+(X215*$D$10))</f>
        <v>4215599.9999999991</v>
      </c>
      <c r="Y101" s="557"/>
      <c r="Z101" s="558"/>
      <c r="AA101" s="558"/>
    </row>
    <row r="102" spans="1:27" x14ac:dyDescent="0.45">
      <c r="A102" s="336" t="str">
        <f>MKT!A15</f>
        <v>Yorkshire/Humber</v>
      </c>
      <c r="B102" s="527"/>
      <c r="C102" s="527"/>
      <c r="D102" s="527"/>
      <c r="E102" s="527"/>
      <c r="F102" s="554">
        <f>IF(F36="0","0",(F63*$C$10)+(F220*$D$10))</f>
        <v>1131800</v>
      </c>
      <c r="G102" s="555"/>
      <c r="H102" s="554">
        <f>IF(H36="0","0",(H63*$C$10)+(H220*$D$10))</f>
        <v>1131800</v>
      </c>
      <c r="I102" s="555"/>
      <c r="J102" s="554">
        <f>IF(J36="0","0",(J63*$C$10)+(J220*$D$10))</f>
        <v>1131800.0000000002</v>
      </c>
      <c r="K102" s="556"/>
      <c r="L102" s="554">
        <f>IF(L36="0","0",(L63*$C$10)+(L220*$D$10))</f>
        <v>3395400</v>
      </c>
      <c r="M102" s="557"/>
      <c r="N102" s="554">
        <f>IF(N36="0","0",(N63*$C$10)+(N220*$D$10))</f>
        <v>6790800</v>
      </c>
      <c r="O102" s="557"/>
      <c r="P102" s="554">
        <f>IF(P36="0","0",(P63*$C$10)+(P220*$D$10))</f>
        <v>4527200</v>
      </c>
      <c r="Q102" s="557"/>
      <c r="R102" s="554">
        <f>IF(R36="0","0",(R63*$C$10)+(R220*$D$10))</f>
        <v>5093099.9999999991</v>
      </c>
      <c r="S102" s="557"/>
      <c r="T102" s="554">
        <f>IF(T36="0","0",(T63*$C$10)+(T220*$D$10))</f>
        <v>1131800.0000000002</v>
      </c>
      <c r="U102" s="557"/>
      <c r="V102" s="554">
        <f>IF(V36="0","0",(V63*$C$10)+(V220*$D$10))</f>
        <v>1131800.0000000012</v>
      </c>
      <c r="W102" s="557"/>
      <c r="X102" s="554">
        <f>IF(X36="0","0",(X63*$C$10)+(X220*$D$10))</f>
        <v>6790799.9999999991</v>
      </c>
      <c r="Y102" s="557"/>
      <c r="Z102" s="558"/>
      <c r="AA102" s="558"/>
    </row>
    <row r="103" spans="1:27" x14ac:dyDescent="0.45">
      <c r="A103" s="336" t="str">
        <f>MKT!A16</f>
        <v>East Midlands</v>
      </c>
      <c r="B103" s="527"/>
      <c r="C103" s="527"/>
      <c r="D103" s="527"/>
      <c r="E103" s="527"/>
      <c r="F103" s="554">
        <f>IF(F37="0","0",(F64*$C$10)+(F225*$D$10))</f>
        <v>1148000</v>
      </c>
      <c r="G103" s="555"/>
      <c r="H103" s="554">
        <f>IF(H37="0","0",(H64*$C$10)+(H225*$D$10))</f>
        <v>1148000</v>
      </c>
      <c r="I103" s="555"/>
      <c r="J103" s="554">
        <f>IF(J37="0","0",(J64*$C$10)+(J225*$D$10))</f>
        <v>1148000</v>
      </c>
      <c r="K103" s="556"/>
      <c r="L103" s="554">
        <f>IF(L37="0","0",(L64*$C$10)+(L225*$D$10))</f>
        <v>3444000</v>
      </c>
      <c r="M103" s="557"/>
      <c r="N103" s="554">
        <f>IF(N37="0","0",(N64*$C$10)+(N225*$D$10))</f>
        <v>6888000</v>
      </c>
      <c r="O103" s="557"/>
      <c r="P103" s="554">
        <f>IF(P37="0","0",(P64*$C$10)+(P225*$D$10))</f>
        <v>1148000</v>
      </c>
      <c r="Q103" s="557"/>
      <c r="R103" s="554">
        <f>IF(R37="0","0",(R64*$C$10)+(R225*$D$10))</f>
        <v>5165999.9999999981</v>
      </c>
      <c r="S103" s="557"/>
      <c r="T103" s="554">
        <f>IF(T37="0","0",(T64*$C$10)+(T225*$D$10))</f>
        <v>1148000.0000000009</v>
      </c>
      <c r="U103" s="557"/>
      <c r="V103" s="554">
        <f>IF(V37="0","0",(V64*$C$10)+(V225*$D$10))</f>
        <v>6314000</v>
      </c>
      <c r="W103" s="557"/>
      <c r="X103" s="554">
        <f>IF(X37="0","0",(X64*$C$10)+(X225*$D$10))</f>
        <v>1148000</v>
      </c>
      <c r="Y103" s="557"/>
      <c r="Z103" s="558"/>
      <c r="AA103" s="558"/>
    </row>
    <row r="104" spans="1:27" x14ac:dyDescent="0.45">
      <c r="A104" s="336" t="str">
        <f>MKT!A17</f>
        <v>North East</v>
      </c>
      <c r="B104" s="527"/>
      <c r="C104" s="527"/>
      <c r="D104" s="527"/>
      <c r="E104" s="527"/>
      <c r="F104" s="554">
        <f>IF(F38="0","0",(F65*$C$10)+(F230*$D$10))</f>
        <v>795000</v>
      </c>
      <c r="G104" s="555"/>
      <c r="H104" s="554">
        <f>IF(H38="0","0",(H65*$C$10)+(H230*$D$10))</f>
        <v>795000</v>
      </c>
      <c r="I104" s="555"/>
      <c r="J104" s="554">
        <f>IF(J38="0","0",(J65*$C$10)+(J230*$D$10))</f>
        <v>795000</v>
      </c>
      <c r="K104" s="556"/>
      <c r="L104" s="554">
        <f>IF(L38="0","0",(L65*$C$10)+(L230*$D$10))</f>
        <v>2385000</v>
      </c>
      <c r="M104" s="557"/>
      <c r="N104" s="554">
        <f>IF(N38="0","0",(N65*$C$10)+(N230*$D$10))</f>
        <v>2782500</v>
      </c>
      <c r="O104" s="557"/>
      <c r="P104" s="554">
        <f>IF(P38="0","0",(P65*$C$10)+(P230*$D$10))</f>
        <v>795000</v>
      </c>
      <c r="Q104" s="557"/>
      <c r="R104" s="554">
        <f>IF(R38="0","0",(R65*$C$10)+(R230*$D$10))</f>
        <v>3577500</v>
      </c>
      <c r="S104" s="557"/>
      <c r="T104" s="554">
        <f>IF(T38="0","0",(T65*$C$10)+(T230*$D$10))</f>
        <v>795000</v>
      </c>
      <c r="U104" s="557"/>
      <c r="V104" s="554">
        <f>IF(V38="0","0",(V65*$C$10)+(V230*$D$10))</f>
        <v>795000</v>
      </c>
      <c r="W104" s="557"/>
      <c r="X104" s="554">
        <f>IF(X38="0","0",(X65*$C$10)+(X230*$D$10))</f>
        <v>4770000</v>
      </c>
      <c r="Y104" s="557"/>
      <c r="Z104" s="558"/>
      <c r="AA104" s="558"/>
    </row>
    <row r="105" spans="1:27" x14ac:dyDescent="0.45">
      <c r="A105" s="336" t="str">
        <f>MKT!A18</f>
        <v>Scotland</v>
      </c>
      <c r="B105" s="527"/>
      <c r="C105" s="527"/>
      <c r="D105" s="527"/>
      <c r="E105" s="527"/>
      <c r="F105" s="554">
        <f>IF(F39="0","0",(F66*$C$10)+(F235*$D$10))</f>
        <v>954400.00000000012</v>
      </c>
      <c r="G105" s="555"/>
      <c r="H105" s="554">
        <f>IF(H39="0","0",(H66*$C$10)+(H235*$D$10))</f>
        <v>954400.00000000012</v>
      </c>
      <c r="I105" s="555"/>
      <c r="J105" s="554">
        <f>IF(J39="0","0",(J66*$C$10)+(J235*$D$10))</f>
        <v>954399.99999999965</v>
      </c>
      <c r="K105" s="556"/>
      <c r="L105" s="554">
        <f>IF(L39="0","0",(L66*$C$10)+(L235*$D$10))</f>
        <v>4772000.0000000009</v>
      </c>
      <c r="M105" s="557"/>
      <c r="N105" s="554">
        <f>IF(N39="0","0",(N66*$C$10)+(N235*$D$10))</f>
        <v>5726400</v>
      </c>
      <c r="O105" s="557"/>
      <c r="P105" s="554">
        <f>IF(P39="0","0",(P66*$C$10)+(P235*$D$10))</f>
        <v>3817599.9999999995</v>
      </c>
      <c r="Q105" s="557"/>
      <c r="R105" s="554">
        <f>IF(R39="0","0",(R66*$C$10)+(R235*$D$10))</f>
        <v>4294799.9999999991</v>
      </c>
      <c r="S105" s="557"/>
      <c r="T105" s="554">
        <f>IF(T39="0","0",(T66*$C$10)+(T235*$D$10))</f>
        <v>4772000.0000000019</v>
      </c>
      <c r="U105" s="557"/>
      <c r="V105" s="554">
        <f>IF(V39="0","0",(V66*$C$10)+(V235*$D$10))</f>
        <v>954399.99999999965</v>
      </c>
      <c r="W105" s="557"/>
      <c r="X105" s="554">
        <f>IF(X39="0","0",(X66*$C$10)+(X235*$D$10))</f>
        <v>5726400</v>
      </c>
      <c r="Y105" s="557"/>
      <c r="Z105" s="558"/>
      <c r="AA105" s="558"/>
    </row>
    <row r="106" spans="1:27" x14ac:dyDescent="0.45">
      <c r="A106" s="336" t="str">
        <f>MKT!A19</f>
        <v>Wales</v>
      </c>
      <c r="B106" s="527"/>
      <c r="C106" s="527"/>
      <c r="D106" s="527"/>
      <c r="E106" s="527"/>
      <c r="F106" s="554">
        <f>IF(F40="0","0",(F67*$C$10)+(F240*$D$10))</f>
        <v>251800</v>
      </c>
      <c r="G106" s="555"/>
      <c r="H106" s="554">
        <f>IF(H40="0","0",(H67*$C$10)+(H240*$D$10))</f>
        <v>251800</v>
      </c>
      <c r="I106" s="555"/>
      <c r="J106" s="554">
        <f>IF(J40="0","0",(J67*$C$10)+(J240*$D$10))</f>
        <v>629500</v>
      </c>
      <c r="K106" s="556"/>
      <c r="L106" s="554">
        <f>IF(L40="0","0",(L67*$C$10)+(L240*$D$10))</f>
        <v>1259000</v>
      </c>
      <c r="M106" s="557"/>
      <c r="N106" s="554">
        <f>IF(N40="0","0",(N67*$C$10)+(N240*$D$10))</f>
        <v>3399300</v>
      </c>
      <c r="O106" s="557"/>
      <c r="P106" s="554">
        <f>IF(P40="0","0",(P67*$C$10)+(P240*$D$10))</f>
        <v>1762600</v>
      </c>
      <c r="Q106" s="557"/>
      <c r="R106" s="554">
        <f>IF(R40="0","0",(R67*$C$10)+(R240*$D$10))</f>
        <v>2014400</v>
      </c>
      <c r="S106" s="557"/>
      <c r="T106" s="554">
        <f>IF(T40="0","0",(T67*$C$10)+(T240*$D$10))</f>
        <v>251800.00000000017</v>
      </c>
      <c r="U106" s="557"/>
      <c r="V106" s="554">
        <f>IF(V40="0","0",(V67*$C$10)+(V240*$D$10))</f>
        <v>1384900.0000000005</v>
      </c>
      <c r="W106" s="557"/>
      <c r="X106" s="554">
        <f>IF(X40="0","0",(X67*$C$10)+(X240*$D$10))</f>
        <v>1510799.9999999998</v>
      </c>
      <c r="Y106" s="557"/>
      <c r="Z106" s="558"/>
      <c r="AA106" s="558"/>
    </row>
    <row r="107" spans="1:27" x14ac:dyDescent="0.45">
      <c r="A107" s="336" t="str">
        <f>MKT!A20</f>
        <v>Northern Ireland</v>
      </c>
      <c r="B107" s="527"/>
      <c r="C107" s="527"/>
      <c r="D107" s="527"/>
      <c r="E107" s="527"/>
      <c r="F107" s="554">
        <f>IF(F41="0","0",(F68*$C$10)+(F245*$D$10))</f>
        <v>682400.00000000012</v>
      </c>
      <c r="G107" s="555"/>
      <c r="H107" s="554">
        <f>IF(H41="0","0",(H68*$C$10)+(H245*$D$10))</f>
        <v>682400.00000000012</v>
      </c>
      <c r="I107" s="555"/>
      <c r="J107" s="554">
        <f>IF(J41="0","0",(J68*$C$10)+(J245*$D$10))</f>
        <v>682399.99999999965</v>
      </c>
      <c r="K107" s="556"/>
      <c r="L107" s="554">
        <f>IF(L41="0","0",(L68*$C$10)+(L245*$D$10))</f>
        <v>2047200.0000000009</v>
      </c>
      <c r="M107" s="557"/>
      <c r="N107" s="554">
        <f>IF(N41="0","0",(N68*$C$10)+(N245*$D$10))</f>
        <v>2388399.9999999995</v>
      </c>
      <c r="O107" s="557"/>
      <c r="P107" s="554">
        <f>IF(P41="0","0",(P68*$C$10)+(P245*$D$10))</f>
        <v>682399.99999999965</v>
      </c>
      <c r="Q107" s="557"/>
      <c r="R107" s="554">
        <f>IF(R41="0","0",(R68*$C$10)+(R245*$D$10))</f>
        <v>3070799.9999999991</v>
      </c>
      <c r="S107" s="557"/>
      <c r="T107" s="554">
        <f>IF(T41="0","0",(T68*$C$10)+(T245*$D$10))</f>
        <v>682400.0000000014</v>
      </c>
      <c r="U107" s="557"/>
      <c r="V107" s="554">
        <f>IF(V41="0","0",(V68*$C$10)+(V245*$D$10))</f>
        <v>682399.99999999965</v>
      </c>
      <c r="W107" s="557"/>
      <c r="X107" s="554">
        <f>IF(X41="0","0",(X68*$C$10)+(X245*$D$10))</f>
        <v>682399.99999999965</v>
      </c>
      <c r="Y107" s="557"/>
      <c r="Z107" s="558"/>
      <c r="AA107" s="558"/>
    </row>
    <row r="108" spans="1:27" x14ac:dyDescent="0.45">
      <c r="A108" s="336" t="str">
        <f>MKT!A21</f>
        <v xml:space="preserve"> </v>
      </c>
      <c r="B108" s="527"/>
      <c r="C108" s="527"/>
      <c r="D108" s="527"/>
      <c r="E108" s="527"/>
      <c r="F108" s="554" t="str">
        <f>IF(F42="0","0",(F69*$C$10)+(F250*$D$10))</f>
        <v>0</v>
      </c>
      <c r="G108" s="555"/>
      <c r="H108" s="554" t="str">
        <f>IF(H42="0","0",(H69*$C$10)+(H250*$D$10))</f>
        <v>0</v>
      </c>
      <c r="I108" s="555"/>
      <c r="J108" s="554" t="str">
        <f>IF(J42="0","0",(J69*$C$10)+(J250*$D$10))</f>
        <v>0</v>
      </c>
      <c r="K108" s="556"/>
      <c r="L108" s="554" t="str">
        <f>IF(L42="0","0",(L69*$C$10)+(L250*$D$10))</f>
        <v>0</v>
      </c>
      <c r="M108" s="557"/>
      <c r="N108" s="554" t="str">
        <f>IF(N42="0","0",(N69*$C$10)+(N250*$D$10))</f>
        <v>0</v>
      </c>
      <c r="O108" s="557"/>
      <c r="P108" s="554" t="str">
        <f>IF(P42="0","0",(P69*$C$10)+(P250*$D$10))</f>
        <v>0</v>
      </c>
      <c r="Q108" s="557"/>
      <c r="R108" s="554" t="str">
        <f>IF(R42="0","0",(R69*$C$10)+(R250*$D$10))</f>
        <v>0</v>
      </c>
      <c r="S108" s="557"/>
      <c r="T108" s="554" t="str">
        <f>IF(T42="0","0",(T69*$C$10)+(T250*$D$10))</f>
        <v>0</v>
      </c>
      <c r="U108" s="557"/>
      <c r="V108" s="554" t="str">
        <f>IF(V42="0","0",(V69*$C$10)+(V250*$D$10))</f>
        <v>0</v>
      </c>
      <c r="W108" s="557"/>
      <c r="X108" s="554" t="str">
        <f>IF(X42="0","0",(X69*$C$10)+(X250*$D$10))</f>
        <v>0</v>
      </c>
      <c r="Y108" s="557"/>
      <c r="Z108" s="558"/>
      <c r="AA108" s="558"/>
    </row>
    <row r="109" spans="1:27" x14ac:dyDescent="0.45">
      <c r="A109" s="336" t="str">
        <f>MKT!A22</f>
        <v xml:space="preserve"> </v>
      </c>
      <c r="B109" s="527"/>
      <c r="C109" s="527"/>
      <c r="D109" s="527"/>
      <c r="E109" s="527"/>
      <c r="F109" s="554" t="str">
        <f>IF(F43="0","0",(F70*$C$10)+(F255*$D$10))</f>
        <v>0</v>
      </c>
      <c r="G109" s="506"/>
      <c r="H109" s="554" t="str">
        <f>IF(H43="0","0",(H70*$C$10)+(H255*$D$10))</f>
        <v>0</v>
      </c>
      <c r="I109" s="506"/>
      <c r="J109" s="554" t="str">
        <f>IF(J43="0","0",(J70*$C$10)+(J255*$D$10))</f>
        <v>0</v>
      </c>
      <c r="K109" s="508"/>
      <c r="L109" s="554" t="str">
        <f>IF(L43="0","0",(L70*$C$10)+(L255*$D$10))</f>
        <v>0</v>
      </c>
      <c r="M109" s="543"/>
      <c r="N109" s="554" t="str">
        <f>IF(N43="0","0",(N70*$C$10)+(N255*$D$10))</f>
        <v>0</v>
      </c>
      <c r="O109" s="543"/>
      <c r="P109" s="554" t="str">
        <f>IF(P43="0","0",(P70*$C$10)+(P255*$D$10))</f>
        <v>0</v>
      </c>
      <c r="Q109" s="543"/>
      <c r="R109" s="554" t="str">
        <f>IF(R43="0","0",(R70*$C$10)+(R255*$D$10))</f>
        <v>0</v>
      </c>
      <c r="S109" s="296"/>
      <c r="T109" s="554" t="str">
        <f>IF(T43="0","0",(T70*$C$10)+(T255*$D$10))</f>
        <v>0</v>
      </c>
      <c r="U109" s="296"/>
      <c r="V109" s="554" t="str">
        <f>IF(V43="0","0",(V70*$C$10)+(V255*$D$10))</f>
        <v>0</v>
      </c>
      <c r="W109" s="296"/>
      <c r="X109" s="554" t="str">
        <f>IF(X43="0","0",(X70*$C$10)+(X255*$D$10))</f>
        <v>0</v>
      </c>
      <c r="Y109" s="43"/>
    </row>
    <row r="110" spans="1:27" x14ac:dyDescent="0.45">
      <c r="A110" s="336" t="s">
        <v>274</v>
      </c>
      <c r="B110" s="43"/>
      <c r="C110" s="43"/>
      <c r="D110" s="43"/>
      <c r="E110" s="43"/>
      <c r="F110" s="559">
        <f>SUM(F94:F109)</f>
        <v>14078400</v>
      </c>
      <c r="G110" s="42"/>
      <c r="H110" s="559">
        <f>SUM(H94:H109)</f>
        <v>14078400</v>
      </c>
      <c r="I110" s="42"/>
      <c r="J110" s="559">
        <f>SUM(J94:J109)</f>
        <v>16198499.999999998</v>
      </c>
      <c r="K110" s="532"/>
      <c r="L110" s="559">
        <f>SUM(L94:L109)</f>
        <v>52884000</v>
      </c>
      <c r="M110" s="43"/>
      <c r="N110" s="559">
        <f>SUM(N94:N109)</f>
        <v>94934900</v>
      </c>
      <c r="O110" s="43"/>
      <c r="P110" s="559">
        <f>SUM(P94:P109)</f>
        <v>51267600</v>
      </c>
      <c r="Q110" s="43"/>
      <c r="R110" s="559">
        <f>SUM(R94:R109)</f>
        <v>69113800</v>
      </c>
      <c r="S110" s="43"/>
      <c r="T110" s="559">
        <f>SUM(T94:T109)</f>
        <v>19732000.000000007</v>
      </c>
      <c r="U110" s="43"/>
      <c r="V110" s="559">
        <f>SUM(V94:V109)</f>
        <v>61395000</v>
      </c>
      <c r="W110" s="43"/>
      <c r="X110" s="559">
        <f>SUM(X94:X109)</f>
        <v>36714400</v>
      </c>
      <c r="Y110" s="43"/>
    </row>
    <row r="111" spans="1:27" x14ac:dyDescent="0.45">
      <c r="A111" s="424"/>
      <c r="F111" s="560"/>
    </row>
    <row r="112" spans="1:27" x14ac:dyDescent="0.45">
      <c r="A112" s="120" t="s">
        <v>225</v>
      </c>
      <c r="F112" s="561">
        <f>SUM($F$110:F110)</f>
        <v>14078400</v>
      </c>
      <c r="H112" s="561">
        <f>SUM($F$110:H110)</f>
        <v>28156800</v>
      </c>
      <c r="J112" s="561">
        <f>SUM($F$110:J110)</f>
        <v>44355300</v>
      </c>
      <c r="L112" s="561">
        <f>SUM($F$110:L110)</f>
        <v>97239300</v>
      </c>
      <c r="N112" s="561">
        <f>SUM($F$110:N110)</f>
        <v>192174200</v>
      </c>
      <c r="P112" s="561">
        <f>SUM($F$110:P110)</f>
        <v>243441800</v>
      </c>
      <c r="R112" s="561">
        <f>SUM($F$110:R110)</f>
        <v>312555600</v>
      </c>
      <c r="T112" s="561">
        <f>SUM($F$110:T110)</f>
        <v>332287600</v>
      </c>
      <c r="V112" s="561">
        <f>SUM($F$110:V110)</f>
        <v>393682600</v>
      </c>
      <c r="X112" s="561">
        <f>SUM($F$110:X110)</f>
        <v>430397000</v>
      </c>
    </row>
    <row r="114" spans="1:33" x14ac:dyDescent="0.45">
      <c r="A114" s="120" t="s">
        <v>339</v>
      </c>
      <c r="F114" s="561">
        <f>F110/F71</f>
        <v>2000.0000000000002</v>
      </c>
      <c r="H114" s="561">
        <f>H110/H71</f>
        <v>2000.0000000000002</v>
      </c>
      <c r="J114" s="561">
        <f>J110/J71</f>
        <v>2301.1847937265597</v>
      </c>
      <c r="L114" s="561">
        <f>L110/L71</f>
        <v>7512.7855438117958</v>
      </c>
      <c r="N114" s="561">
        <f>N110/N71</f>
        <v>13486.603591317196</v>
      </c>
      <c r="P114" s="561">
        <f>P110/P71</f>
        <v>7283.1571769519296</v>
      </c>
      <c r="R114" s="561">
        <f>R110/R71</f>
        <v>9818.4168655529083</v>
      </c>
      <c r="T114" s="561">
        <f>T110/T71</f>
        <v>2803.1594499374924</v>
      </c>
      <c r="V114" s="561">
        <f>V110/V71</f>
        <v>8721.8718036140472</v>
      </c>
      <c r="X114" s="561">
        <f>X110/X71</f>
        <v>5215.7063302648048</v>
      </c>
    </row>
    <row r="117" spans="1:33" ht="14.65" thickBot="1" x14ac:dyDescent="0.5"/>
    <row r="118" spans="1:33" ht="20.65" x14ac:dyDescent="0.45">
      <c r="A118" s="562" t="s">
        <v>467</v>
      </c>
      <c r="B118" s="563"/>
      <c r="C118" s="564"/>
      <c r="D118" s="970"/>
      <c r="E118" s="970"/>
      <c r="F118" s="565"/>
      <c r="G118" s="565"/>
      <c r="H118" s="565"/>
      <c r="I118" s="566"/>
      <c r="J118" s="567"/>
    </row>
    <row r="119" spans="1:33" ht="20.65" x14ac:dyDescent="0.6">
      <c r="A119" s="568"/>
      <c r="B119" s="569"/>
      <c r="C119" s="570"/>
      <c r="D119" s="571"/>
      <c r="E119" s="571"/>
      <c r="F119" s="572"/>
      <c r="G119" s="572"/>
      <c r="H119" s="572"/>
      <c r="I119" s="393"/>
      <c r="J119" s="573"/>
    </row>
    <row r="120" spans="1:33" ht="52.9" x14ac:dyDescent="0.45">
      <c r="A120" s="574" t="s">
        <v>73</v>
      </c>
      <c r="B120" s="575" t="s">
        <v>74</v>
      </c>
      <c r="C120" s="576" t="s">
        <v>75</v>
      </c>
      <c r="D120" s="576" t="s">
        <v>76</v>
      </c>
      <c r="E120" s="576" t="s">
        <v>77</v>
      </c>
      <c r="F120" s="576" t="s">
        <v>78</v>
      </c>
      <c r="G120" s="577"/>
      <c r="H120" s="578" t="s">
        <v>231</v>
      </c>
      <c r="I120" s="578" t="s">
        <v>252</v>
      </c>
      <c r="J120" s="579" t="s">
        <v>232</v>
      </c>
    </row>
    <row r="121" spans="1:33" ht="17" customHeight="1" x14ac:dyDescent="0.45">
      <c r="A121" s="389" t="s">
        <v>79</v>
      </c>
      <c r="B121" s="390" t="s">
        <v>80</v>
      </c>
      <c r="C121" s="487">
        <v>8164</v>
      </c>
      <c r="D121" s="391">
        <v>290.39340000000004</v>
      </c>
      <c r="E121" s="392">
        <f t="shared" ref="E121:E153" si="30">D121/100</f>
        <v>2.9039340000000005</v>
      </c>
      <c r="F121" s="391">
        <f>C121/E121</f>
        <v>2811.358660355228</v>
      </c>
      <c r="G121" s="391"/>
      <c r="H121" s="8">
        <v>1</v>
      </c>
      <c r="I121" s="394">
        <f t="shared" ref="I121:I153" si="31">IF(F121&gt;5000,$B$20,$C$20)</f>
        <v>3.1249400624999999</v>
      </c>
      <c r="J121" s="395">
        <f>E121*I121</f>
        <v>9.0746196954558762</v>
      </c>
      <c r="AA121" s="120" t="s">
        <v>469</v>
      </c>
    </row>
    <row r="122" spans="1:33" ht="17" customHeight="1" x14ac:dyDescent="0.45">
      <c r="A122" s="488" t="s">
        <v>81</v>
      </c>
      <c r="B122" s="489" t="s">
        <v>82</v>
      </c>
      <c r="C122" s="490">
        <v>221495</v>
      </c>
      <c r="D122" s="490">
        <v>3610.7817000000005</v>
      </c>
      <c r="E122" s="491">
        <f t="shared" si="30"/>
        <v>36.107817000000004</v>
      </c>
      <c r="F122" s="490">
        <f t="shared" ref="F122:F153" si="32">C122/E122</f>
        <v>6134.2672696053596</v>
      </c>
      <c r="G122" s="490"/>
      <c r="H122" s="9">
        <v>3</v>
      </c>
      <c r="I122" s="483">
        <f t="shared" si="31"/>
        <v>7.9998465599999991</v>
      </c>
      <c r="J122" s="484">
        <f t="shared" ref="J122:J156" si="33">E122*I122</f>
        <v>288.85699561655952</v>
      </c>
      <c r="AA122" s="485" t="s">
        <v>226</v>
      </c>
      <c r="AB122" s="486" t="s">
        <v>470</v>
      </c>
      <c r="AC122" s="486" t="s">
        <v>471</v>
      </c>
      <c r="AD122" s="486" t="s">
        <v>472</v>
      </c>
      <c r="AE122" s="486" t="s">
        <v>473</v>
      </c>
      <c r="AF122" s="486" t="s">
        <v>474</v>
      </c>
      <c r="AG122" s="486" t="s">
        <v>475</v>
      </c>
    </row>
    <row r="123" spans="1:33" x14ac:dyDescent="0.45">
      <c r="A123" s="389" t="s">
        <v>83</v>
      </c>
      <c r="B123" s="390" t="s">
        <v>82</v>
      </c>
      <c r="C123" s="391">
        <v>411275</v>
      </c>
      <c r="D123" s="391">
        <v>8674.8314000000009</v>
      </c>
      <c r="E123" s="392">
        <f t="shared" si="30"/>
        <v>86.748314000000008</v>
      </c>
      <c r="F123" s="391">
        <f t="shared" si="32"/>
        <v>4741.0143325667395</v>
      </c>
      <c r="G123" s="391"/>
      <c r="H123" s="8">
        <v>3</v>
      </c>
      <c r="I123" s="394">
        <f t="shared" si="31"/>
        <v>3.1249400624999999</v>
      </c>
      <c r="J123" s="395">
        <f t="shared" si="33"/>
        <v>271.08328177292964</v>
      </c>
      <c r="AA123" s="120" t="s">
        <v>108</v>
      </c>
      <c r="AB123" s="120" t="s">
        <v>476</v>
      </c>
      <c r="AC123" s="397">
        <v>20</v>
      </c>
      <c r="AD123" s="397">
        <v>324745</v>
      </c>
      <c r="AE123" s="397">
        <v>16427</v>
      </c>
      <c r="AF123" s="398">
        <v>8.2392344103385915E-5</v>
      </c>
      <c r="AG123" s="398">
        <v>4.8616844814154065E-3</v>
      </c>
    </row>
    <row r="124" spans="1:33" x14ac:dyDescent="0.45">
      <c r="A124" s="389" t="s">
        <v>84</v>
      </c>
      <c r="B124" s="390" t="s">
        <v>82</v>
      </c>
      <c r="C124" s="391">
        <v>256845</v>
      </c>
      <c r="D124" s="391">
        <v>6058.0668000000005</v>
      </c>
      <c r="E124" s="392">
        <f t="shared" si="30"/>
        <v>60.580668000000003</v>
      </c>
      <c r="F124" s="391">
        <f t="shared" si="32"/>
        <v>4239.7188489238843</v>
      </c>
      <c r="G124" s="391"/>
      <c r="H124" s="8">
        <v>3</v>
      </c>
      <c r="I124" s="394">
        <f t="shared" si="31"/>
        <v>3.1249400624999999</v>
      </c>
      <c r="J124" s="395">
        <f t="shared" si="33"/>
        <v>189.31095644621175</v>
      </c>
      <c r="AA124" s="120" t="s">
        <v>97</v>
      </c>
      <c r="AB124" s="120" t="s">
        <v>476</v>
      </c>
      <c r="AC124" s="397">
        <v>15</v>
      </c>
      <c r="AD124" s="397">
        <v>242467</v>
      </c>
      <c r="AE124" s="397">
        <v>16321</v>
      </c>
      <c r="AF124" s="398">
        <v>1.4418660218092535E-4</v>
      </c>
      <c r="AG124" s="398">
        <v>8.4916034983528472E-3</v>
      </c>
    </row>
    <row r="125" spans="1:33" x14ac:dyDescent="0.45">
      <c r="A125" s="389" t="s">
        <v>85</v>
      </c>
      <c r="B125" s="390" t="s">
        <v>82</v>
      </c>
      <c r="C125" s="391">
        <v>346437</v>
      </c>
      <c r="D125" s="391">
        <v>4323.2637000000004</v>
      </c>
      <c r="E125" s="392">
        <f t="shared" si="30"/>
        <v>43.232637000000004</v>
      </c>
      <c r="F125" s="391">
        <f t="shared" si="32"/>
        <v>8013.3210472449309</v>
      </c>
      <c r="G125" s="391"/>
      <c r="H125" s="8">
        <v>3</v>
      </c>
      <c r="I125" s="394">
        <f t="shared" si="31"/>
        <v>7.9998465599999991</v>
      </c>
      <c r="J125" s="395">
        <f t="shared" si="33"/>
        <v>345.8544623841787</v>
      </c>
      <c r="AA125" s="120" t="s">
        <v>183</v>
      </c>
      <c r="AB125" s="120" t="s">
        <v>476</v>
      </c>
      <c r="AC125" s="397">
        <v>19</v>
      </c>
      <c r="AD125" s="397">
        <v>281120</v>
      </c>
      <c r="AE125" s="397">
        <v>14758</v>
      </c>
      <c r="AF125" s="398">
        <v>2.2245932907914197E-4</v>
      </c>
      <c r="AG125" s="398">
        <v>1.2700187899700056E-2</v>
      </c>
    </row>
    <row r="126" spans="1:33" x14ac:dyDescent="0.45">
      <c r="A126" s="389" t="s">
        <v>86</v>
      </c>
      <c r="B126" s="390" t="s">
        <v>82</v>
      </c>
      <c r="C126" s="391">
        <v>339466</v>
      </c>
      <c r="D126" s="391">
        <v>15013.489200000002</v>
      </c>
      <c r="E126" s="392">
        <f t="shared" si="30"/>
        <v>150.13489200000001</v>
      </c>
      <c r="F126" s="391">
        <f t="shared" si="32"/>
        <v>2261.0733286436839</v>
      </c>
      <c r="G126" s="391"/>
      <c r="H126" s="8">
        <v>3</v>
      </c>
      <c r="I126" s="394">
        <f t="shared" si="31"/>
        <v>3.1249400624999999</v>
      </c>
      <c r="J126" s="395">
        <f t="shared" si="33"/>
        <v>469.16253878991074</v>
      </c>
      <c r="AA126" s="120" t="s">
        <v>98</v>
      </c>
      <c r="AB126" s="120" t="s">
        <v>476</v>
      </c>
      <c r="AC126" s="397">
        <v>12</v>
      </c>
      <c r="AD126" s="397">
        <v>156129</v>
      </c>
      <c r="AE126" s="397">
        <v>12876</v>
      </c>
      <c r="AF126" s="398">
        <v>2.718947355411735E-4</v>
      </c>
      <c r="AG126" s="398">
        <v>1.5037560103733701E-2</v>
      </c>
    </row>
    <row r="127" spans="1:33" x14ac:dyDescent="0.45">
      <c r="A127" s="389" t="s">
        <v>87</v>
      </c>
      <c r="B127" s="390" t="s">
        <v>80</v>
      </c>
      <c r="C127" s="391">
        <v>259344</v>
      </c>
      <c r="D127" s="391">
        <v>2178.9295000000002</v>
      </c>
      <c r="E127" s="392">
        <f t="shared" si="30"/>
        <v>21.789295000000003</v>
      </c>
      <c r="F127" s="391">
        <f t="shared" si="32"/>
        <v>11902.35847465464</v>
      </c>
      <c r="G127" s="391"/>
      <c r="H127" s="8">
        <v>1</v>
      </c>
      <c r="I127" s="394">
        <f t="shared" si="31"/>
        <v>7.9998465599999991</v>
      </c>
      <c r="J127" s="395">
        <f t="shared" si="33"/>
        <v>174.3110166505752</v>
      </c>
      <c r="AA127" s="120" t="s">
        <v>87</v>
      </c>
      <c r="AB127" s="120" t="s">
        <v>476</v>
      </c>
      <c r="AC127" s="397">
        <v>22</v>
      </c>
      <c r="AD127" s="397">
        <v>270029</v>
      </c>
      <c r="AE127" s="397">
        <v>12393</v>
      </c>
      <c r="AF127" s="398">
        <v>3.6252631405489803E-4</v>
      </c>
      <c r="AG127" s="398">
        <v>1.9080103634294975E-2</v>
      </c>
    </row>
    <row r="128" spans="1:33" x14ac:dyDescent="0.45">
      <c r="A128" s="389" t="s">
        <v>182</v>
      </c>
      <c r="B128" s="390" t="s">
        <v>82</v>
      </c>
      <c r="C128" s="391">
        <v>403461</v>
      </c>
      <c r="D128" s="391">
        <v>8650.3634999999995</v>
      </c>
      <c r="E128" s="392">
        <f t="shared" si="30"/>
        <v>86.503634999999989</v>
      </c>
      <c r="F128" s="391">
        <f t="shared" si="32"/>
        <v>4664.0930175940011</v>
      </c>
      <c r="G128" s="391"/>
      <c r="H128" s="8">
        <v>3</v>
      </c>
      <c r="I128" s="394">
        <f t="shared" si="31"/>
        <v>3.1249400624999999</v>
      </c>
      <c r="J128" s="395">
        <f t="shared" si="33"/>
        <v>270.31867456337716</v>
      </c>
      <c r="AA128" s="120" t="s">
        <v>111</v>
      </c>
      <c r="AB128" s="120" t="s">
        <v>476</v>
      </c>
      <c r="AC128" s="397">
        <v>21</v>
      </c>
      <c r="AD128" s="397">
        <v>261317</v>
      </c>
      <c r="AE128" s="397">
        <v>12167</v>
      </c>
      <c r="AF128" s="398">
        <v>4.4903827536345325E-4</v>
      </c>
      <c r="AG128" s="398">
        <v>2.2992221768923776E-2</v>
      </c>
    </row>
    <row r="129" spans="1:33" x14ac:dyDescent="0.45">
      <c r="A129" s="389" t="s">
        <v>88</v>
      </c>
      <c r="B129" s="390" t="s">
        <v>82</v>
      </c>
      <c r="C129" s="391">
        <v>369685</v>
      </c>
      <c r="D129" s="391">
        <v>5554.4305000000004</v>
      </c>
      <c r="E129" s="392">
        <f t="shared" si="30"/>
        <v>55.544305000000001</v>
      </c>
      <c r="F129" s="391">
        <f t="shared" si="32"/>
        <v>6655.6778413196453</v>
      </c>
      <c r="G129" s="391"/>
      <c r="H129" s="8">
        <v>3</v>
      </c>
      <c r="I129" s="394">
        <f t="shared" si="31"/>
        <v>7.9998465599999991</v>
      </c>
      <c r="J129" s="395">
        <f t="shared" si="33"/>
        <v>444.34591728184074</v>
      </c>
      <c r="AA129" s="120" t="s">
        <v>100</v>
      </c>
      <c r="AB129" s="120" t="s">
        <v>476</v>
      </c>
      <c r="AC129" s="397">
        <v>27</v>
      </c>
      <c r="AD129" s="397">
        <v>326034</v>
      </c>
      <c r="AE129" s="397">
        <v>12156</v>
      </c>
      <c r="AF129" s="398">
        <v>5.6026793990302426E-4</v>
      </c>
      <c r="AG129" s="398">
        <v>2.787320357992561E-2</v>
      </c>
    </row>
    <row r="130" spans="1:33" x14ac:dyDescent="0.45">
      <c r="A130" s="389" t="s">
        <v>89</v>
      </c>
      <c r="B130" s="390" t="s">
        <v>82</v>
      </c>
      <c r="C130" s="391">
        <v>346635</v>
      </c>
      <c r="D130" s="391">
        <v>8083.1971000000003</v>
      </c>
      <c r="E130" s="392">
        <f t="shared" si="30"/>
        <v>80.83197100000001</v>
      </c>
      <c r="F130" s="391">
        <f t="shared" si="32"/>
        <v>4288.3403152448172</v>
      </c>
      <c r="G130" s="391"/>
      <c r="H130" s="8">
        <v>3</v>
      </c>
      <c r="I130" s="394">
        <f t="shared" si="31"/>
        <v>3.1249400624999999</v>
      </c>
      <c r="J130" s="395">
        <f t="shared" si="33"/>
        <v>252.5950645087382</v>
      </c>
      <c r="AA130" s="120" t="s">
        <v>91</v>
      </c>
      <c r="AB130" s="120" t="s">
        <v>476</v>
      </c>
      <c r="AC130" s="397">
        <v>16</v>
      </c>
      <c r="AD130" s="397">
        <v>185143</v>
      </c>
      <c r="AE130" s="397">
        <v>11287</v>
      </c>
      <c r="AF130" s="398">
        <v>6.261818151857329E-4</v>
      </c>
      <c r="AG130" s="398">
        <v>3.0644937863571833E-2</v>
      </c>
    </row>
    <row r="131" spans="1:33" x14ac:dyDescent="0.45">
      <c r="A131" s="389" t="s">
        <v>90</v>
      </c>
      <c r="B131" s="390" t="s">
        <v>82</v>
      </c>
      <c r="C131" s="391">
        <v>294837</v>
      </c>
      <c r="D131" s="391">
        <v>4733.3866999999991</v>
      </c>
      <c r="E131" s="392">
        <f t="shared" si="30"/>
        <v>47.333866999999991</v>
      </c>
      <c r="F131" s="391">
        <f t="shared" si="32"/>
        <v>6228.8804757912567</v>
      </c>
      <c r="G131" s="391"/>
      <c r="H131" s="8">
        <v>3</v>
      </c>
      <c r="I131" s="394">
        <f t="shared" si="31"/>
        <v>7.9998465599999991</v>
      </c>
      <c r="J131" s="395">
        <f t="shared" si="33"/>
        <v>378.66367309144738</v>
      </c>
      <c r="AA131" s="120" t="s">
        <v>106</v>
      </c>
      <c r="AB131" s="120" t="s">
        <v>476</v>
      </c>
      <c r="AC131" s="397">
        <v>29</v>
      </c>
      <c r="AD131" s="397">
        <v>318830</v>
      </c>
      <c r="AE131" s="397">
        <v>11045</v>
      </c>
      <c r="AF131" s="398">
        <v>7.4565071413564249E-4</v>
      </c>
      <c r="AG131" s="398">
        <v>3.5418070208056499E-2</v>
      </c>
    </row>
    <row r="132" spans="1:33" x14ac:dyDescent="0.45">
      <c r="A132" s="389" t="s">
        <v>183</v>
      </c>
      <c r="B132" s="390" t="s">
        <v>80</v>
      </c>
      <c r="C132" s="391">
        <v>292023</v>
      </c>
      <c r="D132" s="391">
        <v>1904.9024999999997</v>
      </c>
      <c r="E132" s="392">
        <f t="shared" si="30"/>
        <v>19.049024999999997</v>
      </c>
      <c r="F132" s="391">
        <f t="shared" si="32"/>
        <v>15330.075948769034</v>
      </c>
      <c r="G132" s="391"/>
      <c r="H132" s="8">
        <v>1</v>
      </c>
      <c r="I132" s="394">
        <f t="shared" si="31"/>
        <v>7.9998465599999991</v>
      </c>
      <c r="J132" s="395">
        <f t="shared" si="33"/>
        <v>152.38927711760397</v>
      </c>
      <c r="AA132" s="120" t="s">
        <v>103</v>
      </c>
      <c r="AB132" s="120" t="s">
        <v>476</v>
      </c>
      <c r="AC132" s="397">
        <v>36</v>
      </c>
      <c r="AD132" s="397">
        <v>353134</v>
      </c>
      <c r="AE132" s="397">
        <v>9756</v>
      </c>
      <c r="AF132" s="398">
        <v>8.9395693352173713E-4</v>
      </c>
      <c r="AG132" s="398">
        <v>4.0704760034413021E-2</v>
      </c>
    </row>
    <row r="133" spans="1:33" x14ac:dyDescent="0.45">
      <c r="A133" s="389" t="s">
        <v>91</v>
      </c>
      <c r="B133" s="390" t="s">
        <v>80</v>
      </c>
      <c r="C133" s="391">
        <v>195981</v>
      </c>
      <c r="D133" s="391">
        <v>1639.7452999999998</v>
      </c>
      <c r="E133" s="392">
        <f t="shared" si="30"/>
        <v>16.397452999999999</v>
      </c>
      <c r="F133" s="391">
        <f t="shared" si="32"/>
        <v>11951.917166647772</v>
      </c>
      <c r="G133" s="391"/>
      <c r="H133" s="8">
        <v>2</v>
      </c>
      <c r="I133" s="394">
        <f t="shared" si="31"/>
        <v>7.9998465599999991</v>
      </c>
      <c r="J133" s="395">
        <f t="shared" si="33"/>
        <v>131.17710797481166</v>
      </c>
      <c r="AA133" s="120" t="s">
        <v>110</v>
      </c>
      <c r="AB133" s="120" t="s">
        <v>476</v>
      </c>
      <c r="AC133" s="397">
        <v>34</v>
      </c>
      <c r="AD133" s="397">
        <v>329677</v>
      </c>
      <c r="AE133" s="397">
        <v>9624</v>
      </c>
      <c r="AF133" s="398">
        <v>1.0340239184974931E-3</v>
      </c>
      <c r="AG133" s="398">
        <v>4.5640280380467885E-2</v>
      </c>
    </row>
    <row r="134" spans="1:33" x14ac:dyDescent="0.45">
      <c r="A134" s="389" t="s">
        <v>92</v>
      </c>
      <c r="B134" s="390" t="s">
        <v>80</v>
      </c>
      <c r="C134" s="391">
        <v>291330</v>
      </c>
      <c r="D134" s="391">
        <v>2959.8386999999998</v>
      </c>
      <c r="E134" s="392">
        <f t="shared" si="30"/>
        <v>29.598386999999999</v>
      </c>
      <c r="F134" s="391">
        <f t="shared" si="32"/>
        <v>9842.7660939766756</v>
      </c>
      <c r="G134" s="391"/>
      <c r="H134" s="8">
        <v>2</v>
      </c>
      <c r="I134" s="394">
        <f t="shared" si="31"/>
        <v>7.9998465599999991</v>
      </c>
      <c r="J134" s="395">
        <f t="shared" si="33"/>
        <v>236.78255442349868</v>
      </c>
      <c r="AA134" s="120" t="s">
        <v>92</v>
      </c>
      <c r="AB134" s="120" t="s">
        <v>476</v>
      </c>
      <c r="AC134" s="397">
        <v>30</v>
      </c>
      <c r="AD134" s="397">
        <v>268647</v>
      </c>
      <c r="AE134" s="397">
        <v>9076</v>
      </c>
      <c r="AF134" s="398">
        <v>1.1576124346525721E-3</v>
      </c>
      <c r="AG134" s="398">
        <v>4.9662134299323618E-2</v>
      </c>
    </row>
    <row r="135" spans="1:33" x14ac:dyDescent="0.45">
      <c r="A135" s="389" t="s">
        <v>93</v>
      </c>
      <c r="B135" s="390" t="s">
        <v>82</v>
      </c>
      <c r="C135" s="391">
        <v>263484</v>
      </c>
      <c r="D135" s="391">
        <v>5046.2744000000002</v>
      </c>
      <c r="E135" s="392">
        <f t="shared" si="30"/>
        <v>50.462744000000001</v>
      </c>
      <c r="F135" s="391">
        <f t="shared" si="32"/>
        <v>5221.3569678256099</v>
      </c>
      <c r="G135" s="391"/>
      <c r="H135" s="8">
        <v>3</v>
      </c>
      <c r="I135" s="394">
        <f t="shared" si="31"/>
        <v>7.9998465599999991</v>
      </c>
      <c r="J135" s="395">
        <f t="shared" si="33"/>
        <v>403.69420899656058</v>
      </c>
      <c r="AA135" s="120" t="s">
        <v>101</v>
      </c>
      <c r="AB135" s="120" t="s">
        <v>476</v>
      </c>
      <c r="AC135" s="397">
        <v>35</v>
      </c>
      <c r="AD135" s="397">
        <v>305842</v>
      </c>
      <c r="AE135" s="397">
        <v>8702</v>
      </c>
      <c r="AF135" s="398">
        <v>1.3017990368334974E-3</v>
      </c>
      <c r="AG135" s="398">
        <v>5.4240826211947528E-2</v>
      </c>
    </row>
    <row r="136" spans="1:33" x14ac:dyDescent="0.45">
      <c r="A136" s="389" t="s">
        <v>94</v>
      </c>
      <c r="B136" s="390" t="s">
        <v>82</v>
      </c>
      <c r="C136" s="391">
        <v>265930</v>
      </c>
      <c r="D136" s="391">
        <v>11234.9666</v>
      </c>
      <c r="E136" s="392">
        <f t="shared" si="30"/>
        <v>112.349666</v>
      </c>
      <c r="F136" s="391">
        <f t="shared" si="32"/>
        <v>2366.9852298448309</v>
      </c>
      <c r="G136" s="391"/>
      <c r="H136" s="8">
        <v>3</v>
      </c>
      <c r="I136" s="394">
        <f t="shared" si="31"/>
        <v>3.1249400624999999</v>
      </c>
      <c r="J136" s="395">
        <f t="shared" si="33"/>
        <v>351.08597229189411</v>
      </c>
      <c r="AA136" s="120" t="s">
        <v>85</v>
      </c>
      <c r="AB136" s="120" t="s">
        <v>476</v>
      </c>
      <c r="AC136" s="397">
        <v>43</v>
      </c>
      <c r="AD136" s="397">
        <v>329771</v>
      </c>
      <c r="AE136" s="397">
        <v>7628</v>
      </c>
      <c r="AF136" s="398">
        <v>1.4789425766557772E-3</v>
      </c>
      <c r="AG136" s="398">
        <v>5.9177753810896981E-2</v>
      </c>
    </row>
    <row r="137" spans="1:33" x14ac:dyDescent="0.45">
      <c r="A137" s="389" t="s">
        <v>95</v>
      </c>
      <c r="B137" s="390" t="s">
        <v>82</v>
      </c>
      <c r="C137" s="391">
        <v>319467</v>
      </c>
      <c r="D137" s="391">
        <v>11570.113700000002</v>
      </c>
      <c r="E137" s="392">
        <f t="shared" si="30"/>
        <v>115.70113700000002</v>
      </c>
      <c r="F137" s="391">
        <f t="shared" si="32"/>
        <v>2761.139676613549</v>
      </c>
      <c r="G137" s="391"/>
      <c r="H137" s="8">
        <v>3</v>
      </c>
      <c r="I137" s="394">
        <f t="shared" si="31"/>
        <v>3.1249400624999999</v>
      </c>
      <c r="J137" s="395">
        <f t="shared" si="33"/>
        <v>361.5591182881011</v>
      </c>
      <c r="AA137" s="120" t="s">
        <v>109</v>
      </c>
      <c r="AB137" s="120" t="s">
        <v>476</v>
      </c>
      <c r="AC137" s="397">
        <v>39</v>
      </c>
      <c r="AD137" s="397">
        <v>276983</v>
      </c>
      <c r="AE137" s="397">
        <v>7137</v>
      </c>
      <c r="AF137" s="398">
        <v>1.6396076476573797E-3</v>
      </c>
      <c r="AG137" s="398">
        <v>6.3324404114106836E-2</v>
      </c>
    </row>
    <row r="138" spans="1:33" x14ac:dyDescent="0.45">
      <c r="A138" s="389" t="s">
        <v>96</v>
      </c>
      <c r="B138" s="390" t="s">
        <v>82</v>
      </c>
      <c r="C138" s="391">
        <v>286947</v>
      </c>
      <c r="D138" s="391">
        <v>5597.7911999999997</v>
      </c>
      <c r="E138" s="392">
        <f t="shared" si="30"/>
        <v>55.977911999999996</v>
      </c>
      <c r="F138" s="391">
        <f t="shared" si="32"/>
        <v>5126.0754420422118</v>
      </c>
      <c r="G138" s="391"/>
      <c r="H138" s="8">
        <v>3</v>
      </c>
      <c r="I138" s="394">
        <f t="shared" si="31"/>
        <v>7.9998465599999991</v>
      </c>
      <c r="J138" s="395">
        <f t="shared" si="33"/>
        <v>447.81470674918262</v>
      </c>
      <c r="AA138" s="120" t="s">
        <v>88</v>
      </c>
      <c r="AB138" s="120" t="s">
        <v>476</v>
      </c>
      <c r="AC138" s="397">
        <v>56</v>
      </c>
      <c r="AD138" s="397">
        <v>341806</v>
      </c>
      <c r="AE138" s="397">
        <v>6154</v>
      </c>
      <c r="AF138" s="398">
        <v>1.8703062111468602E-3</v>
      </c>
      <c r="AG138" s="398">
        <v>6.8441504995889996E-2</v>
      </c>
    </row>
    <row r="139" spans="1:33" x14ac:dyDescent="0.45">
      <c r="A139" s="389" t="s">
        <v>97</v>
      </c>
      <c r="B139" s="390" t="s">
        <v>80</v>
      </c>
      <c r="C139" s="391">
        <v>244372</v>
      </c>
      <c r="D139" s="391">
        <v>1485.6655999999998</v>
      </c>
      <c r="E139" s="392">
        <f t="shared" si="30"/>
        <v>14.856655999999997</v>
      </c>
      <c r="F139" s="391">
        <f t="shared" si="32"/>
        <v>16448.65439436708</v>
      </c>
      <c r="G139" s="391"/>
      <c r="H139" s="8">
        <v>1</v>
      </c>
      <c r="I139" s="394">
        <f t="shared" si="31"/>
        <v>7.9998465599999991</v>
      </c>
      <c r="J139" s="395">
        <f t="shared" si="33"/>
        <v>118.85096839470333</v>
      </c>
      <c r="AA139" s="120" t="s">
        <v>90</v>
      </c>
      <c r="AB139" s="120" t="s">
        <v>476</v>
      </c>
      <c r="AC139" s="397">
        <v>47</v>
      </c>
      <c r="AD139" s="397">
        <v>287942</v>
      </c>
      <c r="AE139" s="397">
        <v>6086</v>
      </c>
      <c r="AF139" s="398">
        <v>2.063928219789817E-3</v>
      </c>
      <c r="AG139" s="398">
        <v>7.2752220027523171E-2</v>
      </c>
    </row>
    <row r="140" spans="1:33" x14ac:dyDescent="0.45">
      <c r="A140" s="389" t="s">
        <v>98</v>
      </c>
      <c r="B140" s="390" t="s">
        <v>80</v>
      </c>
      <c r="C140" s="391">
        <v>161552</v>
      </c>
      <c r="D140" s="391">
        <v>1212.4012999999995</v>
      </c>
      <c r="E140" s="392">
        <f t="shared" si="30"/>
        <v>12.124012999999996</v>
      </c>
      <c r="F140" s="391">
        <f t="shared" si="32"/>
        <v>13324.960967956737</v>
      </c>
      <c r="G140" s="391"/>
      <c r="H140" s="8">
        <v>2</v>
      </c>
      <c r="I140" s="394">
        <f t="shared" si="31"/>
        <v>7.9998465599999991</v>
      </c>
      <c r="J140" s="395">
        <f t="shared" si="33"/>
        <v>96.990243691445244</v>
      </c>
      <c r="AA140" s="120" t="s">
        <v>81</v>
      </c>
      <c r="AB140" s="120" t="s">
        <v>476</v>
      </c>
      <c r="AC140" s="397">
        <v>36</v>
      </c>
      <c r="AD140" s="397">
        <v>212906</v>
      </c>
      <c r="AE140" s="397">
        <v>5898</v>
      </c>
      <c r="AF140" s="398">
        <v>2.2122344391759118E-3</v>
      </c>
      <c r="AG140" s="398">
        <v>7.5939587950663565E-2</v>
      </c>
    </row>
    <row r="141" spans="1:33" x14ac:dyDescent="0.45">
      <c r="A141" s="389" t="s">
        <v>99</v>
      </c>
      <c r="B141" s="390" t="s">
        <v>82</v>
      </c>
      <c r="C141" s="391">
        <v>184660</v>
      </c>
      <c r="D141" s="391">
        <v>3726.1175999999996</v>
      </c>
      <c r="E141" s="392">
        <f t="shared" si="30"/>
        <v>37.261175999999999</v>
      </c>
      <c r="F141" s="391">
        <f t="shared" si="32"/>
        <v>4955.8285546328434</v>
      </c>
      <c r="G141" s="391"/>
      <c r="H141" s="8">
        <v>3</v>
      </c>
      <c r="I141" s="394">
        <f t="shared" si="31"/>
        <v>3.1249400624999999</v>
      </c>
      <c r="J141" s="395">
        <f t="shared" si="33"/>
        <v>116.43894165826349</v>
      </c>
      <c r="AA141" s="120" t="s">
        <v>102</v>
      </c>
      <c r="AB141" s="120" t="s">
        <v>476</v>
      </c>
      <c r="AC141" s="397">
        <v>38</v>
      </c>
      <c r="AD141" s="397">
        <v>206548</v>
      </c>
      <c r="AE141" s="397">
        <v>5490</v>
      </c>
      <c r="AF141" s="398">
        <v>2.368779892972345E-3</v>
      </c>
      <c r="AG141" s="398">
        <v>7.9031771683338095E-2</v>
      </c>
    </row>
    <row r="142" spans="1:33" x14ac:dyDescent="0.45">
      <c r="A142" s="389" t="s">
        <v>100</v>
      </c>
      <c r="B142" s="390" t="s">
        <v>80</v>
      </c>
      <c r="C142" s="391">
        <v>342250</v>
      </c>
      <c r="D142" s="391">
        <v>2681.0034999999998</v>
      </c>
      <c r="E142" s="392">
        <f t="shared" si="30"/>
        <v>26.810034999999999</v>
      </c>
      <c r="F142" s="391">
        <f t="shared" si="32"/>
        <v>12765.742379672389</v>
      </c>
      <c r="G142" s="391"/>
      <c r="H142" s="8">
        <v>1</v>
      </c>
      <c r="I142" s="394">
        <f t="shared" si="31"/>
        <v>7.9998465599999991</v>
      </c>
      <c r="J142" s="395">
        <f t="shared" si="33"/>
        <v>214.47616626822958</v>
      </c>
      <c r="AA142" s="120" t="s">
        <v>104</v>
      </c>
      <c r="AB142" s="120" t="s">
        <v>476</v>
      </c>
      <c r="AC142" s="397">
        <v>56</v>
      </c>
      <c r="AD142" s="397">
        <v>305222</v>
      </c>
      <c r="AE142" s="397">
        <v>5411</v>
      </c>
      <c r="AF142" s="398">
        <v>2.5994784564618255E-3</v>
      </c>
      <c r="AG142" s="398">
        <v>8.3601181715167908E-2</v>
      </c>
    </row>
    <row r="143" spans="1:33" x14ac:dyDescent="0.45">
      <c r="A143" s="389" t="s">
        <v>101</v>
      </c>
      <c r="B143" s="390" t="s">
        <v>80</v>
      </c>
      <c r="C143" s="391">
        <v>320574</v>
      </c>
      <c r="D143" s="391">
        <v>3514.9294</v>
      </c>
      <c r="E143" s="392">
        <f t="shared" si="30"/>
        <v>35.149293999999998</v>
      </c>
      <c r="F143" s="391">
        <f t="shared" si="32"/>
        <v>9120.3538824990337</v>
      </c>
      <c r="G143" s="391"/>
      <c r="H143" s="8">
        <v>2</v>
      </c>
      <c r="I143" s="394">
        <f t="shared" si="31"/>
        <v>7.9998465599999991</v>
      </c>
      <c r="J143" s="395">
        <f t="shared" si="33"/>
        <v>281.18895869232858</v>
      </c>
      <c r="AA143" s="120" t="s">
        <v>477</v>
      </c>
      <c r="AB143" s="120" t="s">
        <v>478</v>
      </c>
      <c r="AC143" s="397">
        <v>40</v>
      </c>
      <c r="AD143" s="397">
        <v>214905</v>
      </c>
      <c r="AE143" s="397">
        <v>5321</v>
      </c>
      <c r="AF143" s="398">
        <v>2.7642631446685973E-3</v>
      </c>
      <c r="AG143" s="398">
        <v>8.6818476218481516E-2</v>
      </c>
    </row>
    <row r="144" spans="1:33" x14ac:dyDescent="0.45">
      <c r="A144" s="389" t="s">
        <v>102</v>
      </c>
      <c r="B144" s="390" t="s">
        <v>82</v>
      </c>
      <c r="C144" s="391">
        <v>214740</v>
      </c>
      <c r="D144" s="391">
        <v>3762.4738000000002</v>
      </c>
      <c r="E144" s="392">
        <f t="shared" si="30"/>
        <v>37.624738000000001</v>
      </c>
      <c r="F144" s="391">
        <f t="shared" si="32"/>
        <v>5707.4151586118687</v>
      </c>
      <c r="G144" s="391"/>
      <c r="H144" s="8">
        <v>3</v>
      </c>
      <c r="I144" s="394">
        <f t="shared" si="31"/>
        <v>7.9998465599999991</v>
      </c>
      <c r="J144" s="395">
        <f t="shared" si="33"/>
        <v>300.99213086020126</v>
      </c>
      <c r="AA144" s="120" t="s">
        <v>479</v>
      </c>
      <c r="AB144" s="120" t="s">
        <v>478</v>
      </c>
      <c r="AC144" s="397">
        <v>50</v>
      </c>
      <c r="AD144" s="397">
        <v>252520</v>
      </c>
      <c r="AE144" s="397">
        <v>5062</v>
      </c>
      <c r="AF144" s="398">
        <v>2.9702440049270622E-3</v>
      </c>
      <c r="AG144" s="398">
        <v>9.0598896441262525E-2</v>
      </c>
    </row>
    <row r="145" spans="1:33" x14ac:dyDescent="0.45">
      <c r="A145" s="389" t="s">
        <v>103</v>
      </c>
      <c r="B145" s="390" t="s">
        <v>80</v>
      </c>
      <c r="C145" s="391">
        <v>366943</v>
      </c>
      <c r="D145" s="391">
        <v>3619.8389999999995</v>
      </c>
      <c r="E145" s="392">
        <f t="shared" si="30"/>
        <v>36.198389999999996</v>
      </c>
      <c r="F145" s="391">
        <f t="shared" si="32"/>
        <v>10136.997805703515</v>
      </c>
      <c r="G145" s="391"/>
      <c r="H145" s="8">
        <v>2</v>
      </c>
      <c r="I145" s="394">
        <f t="shared" si="31"/>
        <v>7.9998465599999991</v>
      </c>
      <c r="J145" s="395">
        <f t="shared" si="33"/>
        <v>289.58156571903834</v>
      </c>
      <c r="AA145" s="120" t="s">
        <v>93</v>
      </c>
      <c r="AB145" s="120" t="s">
        <v>476</v>
      </c>
      <c r="AC145" s="397">
        <v>50</v>
      </c>
      <c r="AD145" s="397">
        <v>251160</v>
      </c>
      <c r="AE145" s="397">
        <v>4977</v>
      </c>
      <c r="AF145" s="398">
        <v>3.176224865185527E-3</v>
      </c>
      <c r="AG145" s="398">
        <v>9.4358956409398426E-2</v>
      </c>
    </row>
    <row r="146" spans="1:33" x14ac:dyDescent="0.45">
      <c r="A146" s="389" t="s">
        <v>104</v>
      </c>
      <c r="B146" s="390" t="s">
        <v>82</v>
      </c>
      <c r="C146" s="391">
        <v>316288</v>
      </c>
      <c r="D146" s="391">
        <v>5641.8997000000008</v>
      </c>
      <c r="E146" s="392">
        <f t="shared" si="30"/>
        <v>56.418997000000012</v>
      </c>
      <c r="F146" s="391">
        <f t="shared" si="32"/>
        <v>5606.0549959794562</v>
      </c>
      <c r="G146" s="391"/>
      <c r="H146" s="8">
        <v>3</v>
      </c>
      <c r="I146" s="394">
        <f t="shared" si="31"/>
        <v>7.9998465599999991</v>
      </c>
      <c r="J146" s="395">
        <f t="shared" si="33"/>
        <v>451.34331906910035</v>
      </c>
      <c r="AA146" s="120" t="s">
        <v>480</v>
      </c>
      <c r="AB146" s="120" t="s">
        <v>478</v>
      </c>
      <c r="AC146" s="397">
        <v>43</v>
      </c>
      <c r="AD146" s="397">
        <v>213052</v>
      </c>
      <c r="AE146" s="397">
        <v>4914</v>
      </c>
      <c r="AF146" s="398">
        <v>3.3533684050078066E-3</v>
      </c>
      <c r="AG146" s="398">
        <v>9.7548510065758084E-2</v>
      </c>
    </row>
    <row r="147" spans="1:33" x14ac:dyDescent="0.45">
      <c r="A147" s="389" t="s">
        <v>105</v>
      </c>
      <c r="B147" s="390" t="s">
        <v>82</v>
      </c>
      <c r="C147" s="391">
        <v>203312</v>
      </c>
      <c r="D147" s="391">
        <v>5740.6784999999991</v>
      </c>
      <c r="E147" s="392">
        <f t="shared" si="30"/>
        <v>57.406784999999992</v>
      </c>
      <c r="F147" s="391">
        <f t="shared" si="32"/>
        <v>3541.6022687910504</v>
      </c>
      <c r="G147" s="391"/>
      <c r="H147" s="8">
        <v>3</v>
      </c>
      <c r="I147" s="394">
        <f t="shared" si="31"/>
        <v>3.1249400624999999</v>
      </c>
      <c r="J147" s="395">
        <f t="shared" si="33"/>
        <v>179.39276230582402</v>
      </c>
      <c r="AA147" s="120" t="s">
        <v>96</v>
      </c>
      <c r="AB147" s="120" t="s">
        <v>476</v>
      </c>
      <c r="AC147" s="397">
        <v>56</v>
      </c>
      <c r="AD147" s="397">
        <v>271523</v>
      </c>
      <c r="AE147" s="397">
        <v>4851</v>
      </c>
      <c r="AF147" s="398">
        <v>3.584066968497287E-3</v>
      </c>
      <c r="AG147" s="398">
        <v>0.10161341993487802</v>
      </c>
    </row>
    <row r="148" spans="1:33" x14ac:dyDescent="0.45">
      <c r="A148" s="389" t="s">
        <v>106</v>
      </c>
      <c r="B148" s="390" t="s">
        <v>80</v>
      </c>
      <c r="C148" s="391">
        <v>332679</v>
      </c>
      <c r="D148" s="391">
        <v>2886.2032999999997</v>
      </c>
      <c r="E148" s="392">
        <f t="shared" si="30"/>
        <v>28.862032999999997</v>
      </c>
      <c r="F148" s="391">
        <f t="shared" si="32"/>
        <v>11526.526908204978</v>
      </c>
      <c r="G148" s="391"/>
      <c r="H148" s="8">
        <v>1</v>
      </c>
      <c r="I148" s="394">
        <f t="shared" si="31"/>
        <v>7.9998465599999991</v>
      </c>
      <c r="J148" s="395">
        <f t="shared" si="33"/>
        <v>230.89183540965644</v>
      </c>
      <c r="AA148" s="120" t="s">
        <v>481</v>
      </c>
      <c r="AB148" s="120" t="s">
        <v>478</v>
      </c>
      <c r="AC148" s="397">
        <v>73</v>
      </c>
      <c r="AD148" s="397">
        <v>354224</v>
      </c>
      <c r="AE148" s="397">
        <v>4830</v>
      </c>
      <c r="AF148" s="398">
        <v>3.8847990244746458E-3</v>
      </c>
      <c r="AG148" s="398">
        <v>0.10691642790650158</v>
      </c>
    </row>
    <row r="149" spans="1:33" x14ac:dyDescent="0.45">
      <c r="A149" s="389" t="s">
        <v>107</v>
      </c>
      <c r="B149" s="390" t="s">
        <v>82</v>
      </c>
      <c r="C149" s="391">
        <v>213340</v>
      </c>
      <c r="D149" s="391">
        <v>4384.6980999999996</v>
      </c>
      <c r="E149" s="392">
        <f t="shared" si="30"/>
        <v>43.846981</v>
      </c>
      <c r="F149" s="391">
        <f t="shared" si="32"/>
        <v>4865.5573344947052</v>
      </c>
      <c r="G149" s="391"/>
      <c r="H149" s="8">
        <v>3</v>
      </c>
      <c r="I149" s="394">
        <f t="shared" si="31"/>
        <v>3.1249400624999999</v>
      </c>
      <c r="J149" s="395">
        <f t="shared" si="33"/>
        <v>137.01918754657632</v>
      </c>
      <c r="AA149" s="120" t="s">
        <v>482</v>
      </c>
      <c r="AB149" s="120" t="s">
        <v>483</v>
      </c>
      <c r="AC149" s="397">
        <v>116</v>
      </c>
      <c r="AD149" s="397">
        <v>552858</v>
      </c>
      <c r="AE149" s="397">
        <v>4781</v>
      </c>
      <c r="AF149" s="398">
        <v>4.3626746202742837E-3</v>
      </c>
      <c r="AG149" s="398">
        <v>0.11519314089369571</v>
      </c>
    </row>
    <row r="150" spans="1:33" x14ac:dyDescent="0.45">
      <c r="A150" s="389" t="s">
        <v>108</v>
      </c>
      <c r="B150" s="390" t="s">
        <v>80</v>
      </c>
      <c r="C150" s="391">
        <v>331620</v>
      </c>
      <c r="D150" s="391">
        <v>1978.1275999999998</v>
      </c>
      <c r="E150" s="392">
        <f t="shared" si="30"/>
        <v>19.781275999999998</v>
      </c>
      <c r="F150" s="391">
        <f t="shared" si="32"/>
        <v>16764.338154929945</v>
      </c>
      <c r="G150" s="391"/>
      <c r="H150" s="8">
        <v>1</v>
      </c>
      <c r="I150" s="394">
        <f t="shared" si="31"/>
        <v>7.9998465599999991</v>
      </c>
      <c r="J150" s="395">
        <f t="shared" si="33"/>
        <v>158.24717276101052</v>
      </c>
      <c r="AA150" s="120" t="s">
        <v>99</v>
      </c>
      <c r="AB150" s="120" t="s">
        <v>476</v>
      </c>
      <c r="AC150" s="397">
        <v>37</v>
      </c>
      <c r="AD150" s="397">
        <v>177507</v>
      </c>
      <c r="AE150" s="397">
        <v>4764</v>
      </c>
      <c r="AF150" s="398">
        <v>4.5151004568655482E-3</v>
      </c>
      <c r="AG150" s="398">
        <v>0.11785055833581985</v>
      </c>
    </row>
    <row r="151" spans="1:33" x14ac:dyDescent="0.45">
      <c r="A151" s="389" t="s">
        <v>109</v>
      </c>
      <c r="B151" s="390" t="s">
        <v>82</v>
      </c>
      <c r="C151" s="391">
        <v>292788</v>
      </c>
      <c r="D151" s="391">
        <v>3880.7963</v>
      </c>
      <c r="E151" s="392">
        <f t="shared" si="30"/>
        <v>38.807963000000001</v>
      </c>
      <c r="F151" s="391">
        <f t="shared" si="32"/>
        <v>7544.5340947165923</v>
      </c>
      <c r="G151" s="391"/>
      <c r="H151" s="8">
        <v>3</v>
      </c>
      <c r="I151" s="394">
        <f t="shared" si="31"/>
        <v>7.9998465599999991</v>
      </c>
      <c r="J151" s="395">
        <f t="shared" si="33"/>
        <v>310.45774930615727</v>
      </c>
      <c r="AA151" s="120" t="s">
        <v>107</v>
      </c>
      <c r="AB151" s="120" t="s">
        <v>476</v>
      </c>
      <c r="AC151" s="397">
        <v>44</v>
      </c>
      <c r="AD151" s="397">
        <v>206349</v>
      </c>
      <c r="AE151" s="397">
        <v>4706</v>
      </c>
      <c r="AF151" s="398">
        <v>4.6963636138929975E-3</v>
      </c>
      <c r="AG151" s="398">
        <v>0.12093976288417499</v>
      </c>
    </row>
    <row r="152" spans="1:33" x14ac:dyDescent="0.45">
      <c r="A152" s="389" t="s">
        <v>110</v>
      </c>
      <c r="B152" s="390" t="s">
        <v>80</v>
      </c>
      <c r="C152" s="391">
        <v>337783</v>
      </c>
      <c r="D152" s="391">
        <v>3426.4169999999999</v>
      </c>
      <c r="E152" s="392">
        <f t="shared" si="30"/>
        <v>34.26417</v>
      </c>
      <c r="F152" s="391">
        <f t="shared" si="32"/>
        <v>9858.1988123453739</v>
      </c>
      <c r="G152" s="391"/>
      <c r="H152" s="8">
        <v>2</v>
      </c>
      <c r="I152" s="394">
        <f t="shared" si="31"/>
        <v>7.9998465599999991</v>
      </c>
      <c r="J152" s="395">
        <f t="shared" si="33"/>
        <v>274.10810250575514</v>
      </c>
      <c r="AA152" s="120" t="s">
        <v>484</v>
      </c>
      <c r="AB152" s="120" t="s">
        <v>478</v>
      </c>
      <c r="AC152" s="397">
        <v>33</v>
      </c>
      <c r="AD152" s="397">
        <v>149539</v>
      </c>
      <c r="AE152" s="397">
        <v>4595</v>
      </c>
      <c r="AF152" s="398">
        <v>4.832310981663584E-3</v>
      </c>
      <c r="AG152" s="398">
        <v>0.12317847767783272</v>
      </c>
    </row>
    <row r="153" spans="1:33" x14ac:dyDescent="0.45">
      <c r="A153" s="389" t="s">
        <v>111</v>
      </c>
      <c r="B153" s="390" t="s">
        <v>80</v>
      </c>
      <c r="C153" s="391">
        <v>262317</v>
      </c>
      <c r="D153" s="391">
        <v>2148.6980000000003</v>
      </c>
      <c r="E153" s="392">
        <f t="shared" si="30"/>
        <v>21.486980000000003</v>
      </c>
      <c r="F153" s="391">
        <f t="shared" si="32"/>
        <v>12208.183746622371</v>
      </c>
      <c r="G153" s="391"/>
      <c r="H153" s="8">
        <v>1</v>
      </c>
      <c r="I153" s="394">
        <f t="shared" si="31"/>
        <v>7.9998465599999991</v>
      </c>
      <c r="J153" s="395">
        <f t="shared" si="33"/>
        <v>171.89254303778881</v>
      </c>
      <c r="AA153" s="120" t="s">
        <v>83</v>
      </c>
      <c r="AB153" s="120" t="s">
        <v>476</v>
      </c>
      <c r="AC153" s="397">
        <v>87</v>
      </c>
      <c r="AD153" s="397">
        <v>395869</v>
      </c>
      <c r="AE153" s="397">
        <v>4563</v>
      </c>
      <c r="AF153" s="398">
        <v>5.1907176785133124E-3</v>
      </c>
      <c r="AG153" s="398">
        <v>0.12910494359408528</v>
      </c>
    </row>
    <row r="154" spans="1:33" x14ac:dyDescent="0.45">
      <c r="A154" s="389"/>
      <c r="B154" s="390"/>
      <c r="C154" s="391"/>
      <c r="D154" s="391"/>
      <c r="E154" s="392"/>
      <c r="F154" s="391"/>
      <c r="G154" s="391"/>
      <c r="H154" s="393"/>
      <c r="I154" s="394"/>
      <c r="J154" s="395"/>
      <c r="AA154" s="120" t="s">
        <v>485</v>
      </c>
      <c r="AB154" s="120" t="s">
        <v>486</v>
      </c>
      <c r="AC154" s="397">
        <v>21</v>
      </c>
      <c r="AD154" s="397">
        <v>96577</v>
      </c>
      <c r="AE154" s="397">
        <v>4507</v>
      </c>
      <c r="AF154" s="398">
        <v>5.2772296398218678E-3</v>
      </c>
      <c r="AG154" s="398">
        <v>0.13055077617707087</v>
      </c>
    </row>
    <row r="155" spans="1:33" x14ac:dyDescent="0.45">
      <c r="A155" s="389" t="s">
        <v>112</v>
      </c>
      <c r="B155" s="390"/>
      <c r="C155" s="391">
        <v>3746932</v>
      </c>
      <c r="D155" s="391">
        <v>31929.246000000003</v>
      </c>
      <c r="E155" s="392">
        <f>D155/100</f>
        <v>319.29246000000001</v>
      </c>
      <c r="F155" s="391">
        <f>C155/E155</f>
        <v>11735.109560683017</v>
      </c>
      <c r="G155" s="391"/>
      <c r="H155" s="393"/>
      <c r="I155" s="394"/>
      <c r="J155" s="395">
        <f t="shared" si="33"/>
        <v>0</v>
      </c>
      <c r="AA155" s="120" t="s">
        <v>182</v>
      </c>
      <c r="AB155" s="120" t="s">
        <v>476</v>
      </c>
      <c r="AC155" s="397">
        <v>86</v>
      </c>
      <c r="AD155" s="397">
        <v>386710</v>
      </c>
      <c r="AE155" s="397">
        <v>4471</v>
      </c>
      <c r="AF155" s="398">
        <v>5.631516719466427E-3</v>
      </c>
      <c r="AG155" s="398">
        <v>0.13634012476075391</v>
      </c>
    </row>
    <row r="156" spans="1:33" x14ac:dyDescent="0.45">
      <c r="A156" s="389" t="s">
        <v>113</v>
      </c>
      <c r="B156" s="390"/>
      <c r="C156" s="391">
        <v>5551092</v>
      </c>
      <c r="D156" s="391">
        <v>125423.59500000002</v>
      </c>
      <c r="E156" s="392">
        <f>D156/100</f>
        <v>1254.2359500000002</v>
      </c>
      <c r="F156" s="391">
        <f>C156/E156</f>
        <v>4425.8753705791951</v>
      </c>
      <c r="G156" s="391"/>
      <c r="H156" s="393"/>
      <c r="I156" s="394"/>
      <c r="J156" s="395">
        <f t="shared" si="33"/>
        <v>0</v>
      </c>
      <c r="AA156" s="120" t="s">
        <v>487</v>
      </c>
      <c r="AB156" s="120" t="s">
        <v>478</v>
      </c>
      <c r="AC156" s="397">
        <v>75</v>
      </c>
      <c r="AD156" s="397">
        <v>332900</v>
      </c>
      <c r="AE156" s="397">
        <v>4462</v>
      </c>
      <c r="AF156" s="398">
        <v>5.9404880098541243E-3</v>
      </c>
      <c r="AG156" s="398">
        <v>0.14132389591616257</v>
      </c>
    </row>
    <row r="157" spans="1:33" x14ac:dyDescent="0.45">
      <c r="A157" s="389"/>
      <c r="B157" s="390"/>
      <c r="C157" s="391"/>
      <c r="D157" s="391"/>
      <c r="E157" s="392"/>
      <c r="F157" s="391"/>
      <c r="G157" s="391"/>
      <c r="H157" s="393"/>
      <c r="I157" s="393"/>
      <c r="J157" s="395"/>
      <c r="AA157" s="120" t="s">
        <v>488</v>
      </c>
      <c r="AB157" s="120" t="s">
        <v>483</v>
      </c>
      <c r="AC157" s="397">
        <v>112</v>
      </c>
      <c r="AD157" s="397">
        <v>498042</v>
      </c>
      <c r="AE157" s="397">
        <v>4453</v>
      </c>
      <c r="AF157" s="398">
        <v>6.4018851368330852E-3</v>
      </c>
      <c r="AG157" s="398">
        <v>0.14877997087495515</v>
      </c>
    </row>
    <row r="158" spans="1:33" ht="14.65" thickBot="1" x14ac:dyDescent="0.5">
      <c r="A158" s="399" t="s">
        <v>56</v>
      </c>
      <c r="B158" s="400"/>
      <c r="C158" s="401">
        <v>9298024</v>
      </c>
      <c r="D158" s="401">
        <v>157214.71459999995</v>
      </c>
      <c r="E158" s="402">
        <f>D158/100</f>
        <v>1572.1471459999996</v>
      </c>
      <c r="F158" s="401">
        <f>C158/E158</f>
        <v>5914.219940326122</v>
      </c>
      <c r="G158" s="401"/>
      <c r="H158" s="403"/>
      <c r="I158" s="403"/>
      <c r="J158" s="404">
        <f>SUM(J155:J157)</f>
        <v>0</v>
      </c>
      <c r="AA158" s="120" t="s">
        <v>489</v>
      </c>
      <c r="AB158" s="120" t="s">
        <v>478</v>
      </c>
      <c r="AC158" s="397">
        <v>42</v>
      </c>
      <c r="AD158" s="397">
        <v>183125</v>
      </c>
      <c r="AE158" s="397">
        <v>4394</v>
      </c>
      <c r="AF158" s="398">
        <v>6.5749090594501959E-3</v>
      </c>
      <c r="AG158" s="398">
        <v>0.15152149413369415</v>
      </c>
    </row>
    <row r="159" spans="1:33" x14ac:dyDescent="0.45">
      <c r="F159" s="120"/>
      <c r="G159" s="120"/>
      <c r="H159" s="120"/>
      <c r="I159" s="340"/>
      <c r="J159" s="340"/>
      <c r="AA159" s="120" t="s">
        <v>490</v>
      </c>
      <c r="AB159" s="120" t="s">
        <v>483</v>
      </c>
      <c r="AC159" s="397">
        <v>268</v>
      </c>
      <c r="AD159" s="397">
        <v>1141816</v>
      </c>
      <c r="AE159" s="397">
        <v>4264</v>
      </c>
      <c r="AF159" s="398">
        <v>7.678966470435567E-3</v>
      </c>
      <c r="AG159" s="398">
        <v>0.16861536510270619</v>
      </c>
    </row>
    <row r="160" spans="1:33" x14ac:dyDescent="0.45">
      <c r="F160" s="120"/>
      <c r="G160" s="120"/>
      <c r="H160" s="120"/>
      <c r="I160" s="340"/>
      <c r="J160" s="340"/>
      <c r="AA160" s="120" t="s">
        <v>491</v>
      </c>
      <c r="AB160" s="120" t="s">
        <v>478</v>
      </c>
      <c r="AC160" s="397">
        <v>110</v>
      </c>
      <c r="AD160" s="397">
        <v>463377</v>
      </c>
      <c r="AE160" s="397">
        <v>4224</v>
      </c>
      <c r="AF160" s="398">
        <v>8.1321243630041902E-3</v>
      </c>
      <c r="AG160" s="398">
        <v>0.17555247812968067</v>
      </c>
    </row>
    <row r="161" spans="1:33" x14ac:dyDescent="0.45">
      <c r="F161" s="120"/>
      <c r="G161" s="120"/>
      <c r="H161" s="120"/>
      <c r="I161" s="340"/>
      <c r="J161" s="340"/>
      <c r="AA161" s="120" t="s">
        <v>89</v>
      </c>
      <c r="AB161" s="120" t="s">
        <v>476</v>
      </c>
      <c r="AC161" s="397">
        <v>81</v>
      </c>
      <c r="AD161" s="397">
        <v>333794</v>
      </c>
      <c r="AE161" s="397">
        <v>4130</v>
      </c>
      <c r="AF161" s="398">
        <v>8.4658133566229022E-3</v>
      </c>
      <c r="AG161" s="398">
        <v>0.18054963315836339</v>
      </c>
    </row>
    <row r="162" spans="1:33" ht="14.65" thickBot="1" x14ac:dyDescent="0.5">
      <c r="F162" s="120"/>
      <c r="G162" s="120"/>
      <c r="H162" s="120"/>
      <c r="I162" s="340"/>
      <c r="J162" s="340"/>
      <c r="AA162" s="120" t="s">
        <v>84</v>
      </c>
      <c r="AB162" s="120" t="s">
        <v>476</v>
      </c>
      <c r="AC162" s="397">
        <v>61</v>
      </c>
      <c r="AD162" s="397">
        <v>248287</v>
      </c>
      <c r="AE162" s="397">
        <v>4099</v>
      </c>
      <c r="AF162" s="398">
        <v>8.717110006138229E-3</v>
      </c>
      <c r="AG162" s="398">
        <v>0.18426668208856151</v>
      </c>
    </row>
    <row r="163" spans="1:33" x14ac:dyDescent="0.45">
      <c r="A163" s="405" t="s">
        <v>468</v>
      </c>
      <c r="B163" s="406" t="s">
        <v>233</v>
      </c>
      <c r="C163" s="406" t="s">
        <v>234</v>
      </c>
      <c r="D163" s="406" t="s">
        <v>235</v>
      </c>
      <c r="E163" s="406" t="s">
        <v>236</v>
      </c>
      <c r="F163" s="406" t="s">
        <v>237</v>
      </c>
      <c r="G163" s="407"/>
      <c r="H163" s="120"/>
      <c r="AA163" s="120" t="s">
        <v>492</v>
      </c>
      <c r="AB163" s="120" t="s">
        <v>478</v>
      </c>
      <c r="AC163" s="397">
        <v>40</v>
      </c>
      <c r="AD163" s="397">
        <v>161780</v>
      </c>
      <c r="AE163" s="397">
        <v>4005</v>
      </c>
      <c r="AF163" s="398">
        <v>8.8818946943450012E-3</v>
      </c>
      <c r="AG163" s="398">
        <v>0.18668865414480065</v>
      </c>
    </row>
    <row r="164" spans="1:33" x14ac:dyDescent="0.45">
      <c r="A164" s="409"/>
      <c r="B164" s="336"/>
      <c r="C164" s="336"/>
      <c r="D164" s="336"/>
      <c r="E164" s="43"/>
      <c r="F164" s="43"/>
      <c r="G164" s="410"/>
      <c r="H164" s="120"/>
      <c r="AA164" s="120" t="s">
        <v>493</v>
      </c>
      <c r="AB164" s="120" t="s">
        <v>478</v>
      </c>
      <c r="AC164" s="397">
        <v>35</v>
      </c>
      <c r="AD164" s="397">
        <v>139446</v>
      </c>
      <c r="AE164" s="397">
        <v>3999</v>
      </c>
      <c r="AF164" s="398">
        <v>9.0260812965259271E-3</v>
      </c>
      <c r="AG164" s="398">
        <v>0.18877626890159585</v>
      </c>
    </row>
    <row r="165" spans="1:33" x14ac:dyDescent="0.45">
      <c r="A165" s="409" t="s">
        <v>71</v>
      </c>
      <c r="B165" s="411">
        <f>SUMIF($H$121:$H$153,"1",$J$121:$J$153)</f>
        <v>1230.1335993350237</v>
      </c>
      <c r="C165" s="411">
        <f>SUMIF($H$121:$H$153,"2",$J$121:$J$153)</f>
        <v>1309.8285330068777</v>
      </c>
      <c r="D165" s="411">
        <f>SUMIF($H$121:$H$153,"3",$J$121:$J$153)</f>
        <v>5969.9896615270554</v>
      </c>
      <c r="E165" s="411">
        <f>SUMIF($H$121:$H$153,"4",$J$121:$J$153)</f>
        <v>0</v>
      </c>
      <c r="F165" s="411">
        <f>SUMIF($H$121:$H$153,"5",$J$121:$J$153)</f>
        <v>0</v>
      </c>
      <c r="G165" s="412">
        <f>SUM(B165:F165)</f>
        <v>8509.9517938689569</v>
      </c>
      <c r="H165" s="120"/>
      <c r="AA165" s="120" t="s">
        <v>494</v>
      </c>
      <c r="AB165" s="120" t="s">
        <v>483</v>
      </c>
      <c r="AC165" s="397">
        <v>86</v>
      </c>
      <c r="AD165" s="397">
        <v>328450</v>
      </c>
      <c r="AE165" s="397">
        <v>3839</v>
      </c>
      <c r="AF165" s="398">
        <v>9.3803683761704854E-3</v>
      </c>
      <c r="AG165" s="398">
        <v>0.19369342010614371</v>
      </c>
    </row>
    <row r="166" spans="1:33" x14ac:dyDescent="0.45">
      <c r="A166" s="413" t="s">
        <v>253</v>
      </c>
      <c r="B166" s="411">
        <f>SUMIF($H$121:$H$153,"1",$C$121:$C$153)</f>
        <v>2072769</v>
      </c>
      <c r="C166" s="411">
        <f>SUMIF($H$121:$H$153,"2",$C$121:$C$153)</f>
        <v>1674163</v>
      </c>
      <c r="D166" s="411">
        <f>SUMIF($H$121:$H$153,"3",$C$121:$C$153)</f>
        <v>5551092</v>
      </c>
      <c r="E166" s="411">
        <f>SUMIF($H$121:$H$153,"4",$C$121:$C$153)</f>
        <v>0</v>
      </c>
      <c r="F166" s="411">
        <f>SUMIF($H$121:$H$153,"5",$C$121:$C$153)</f>
        <v>0</v>
      </c>
      <c r="G166" s="414">
        <f>SUM(B166:F166)</f>
        <v>9298024</v>
      </c>
      <c r="H166" s="120"/>
      <c r="AA166" s="120" t="s">
        <v>495</v>
      </c>
      <c r="AB166" s="120" t="s">
        <v>483</v>
      </c>
      <c r="AC166" s="397">
        <v>69</v>
      </c>
      <c r="AD166" s="397">
        <v>263357</v>
      </c>
      <c r="AE166" s="397">
        <v>3793</v>
      </c>
      <c r="AF166" s="398">
        <v>9.664621963327168E-3</v>
      </c>
      <c r="AG166" s="398">
        <v>0.19763607862274016</v>
      </c>
    </row>
    <row r="167" spans="1:33" ht="14.65" thickBot="1" x14ac:dyDescent="0.5">
      <c r="A167" s="415" t="s">
        <v>254</v>
      </c>
      <c r="B167" s="416">
        <f>SUMIF($H$121:$H$153,"1",$E$121:$E$153)</f>
        <v>155.53923400000002</v>
      </c>
      <c r="C167" s="416">
        <f>SUMIF($H$121:$H$153,"2",$E$121:$E$153)</f>
        <v>163.731707</v>
      </c>
      <c r="D167" s="416">
        <f>SUMIF($H$121:$H$153,"3",$E$121:$E$153)</f>
        <v>1252.8762049999996</v>
      </c>
      <c r="E167" s="416">
        <f>SUMIF($H$121:$H$153,"4",$E$121:$E$153)</f>
        <v>0</v>
      </c>
      <c r="F167" s="416">
        <f>SUMIF($H$121:$H$153,"5",$E$121:$E$153)</f>
        <v>0</v>
      </c>
      <c r="G167" s="417">
        <f>SUM(B167:F167)</f>
        <v>1572.1471459999996</v>
      </c>
      <c r="H167" s="120"/>
      <c r="AA167" s="120" t="s">
        <v>496</v>
      </c>
      <c r="AB167" s="120" t="s">
        <v>483</v>
      </c>
      <c r="AC167" s="397">
        <v>99</v>
      </c>
      <c r="AD167" s="397">
        <v>371521</v>
      </c>
      <c r="AE167" s="397">
        <v>3766</v>
      </c>
      <c r="AF167" s="398">
        <v>1.0072464066638928E-2</v>
      </c>
      <c r="AG167" s="398">
        <v>0.20319803609774342</v>
      </c>
    </row>
    <row r="168" spans="1:33" x14ac:dyDescent="0.45">
      <c r="AA168" s="120" t="s">
        <v>497</v>
      </c>
      <c r="AB168" s="120" t="s">
        <v>478</v>
      </c>
      <c r="AC168" s="397">
        <v>72</v>
      </c>
      <c r="AD168" s="397">
        <v>259778</v>
      </c>
      <c r="AE168" s="397">
        <v>3629</v>
      </c>
      <c r="AF168" s="398">
        <v>1.0369076505411117E-2</v>
      </c>
      <c r="AG168" s="398">
        <v>0.20708711420891721</v>
      </c>
    </row>
    <row r="169" spans="1:33" x14ac:dyDescent="0.45">
      <c r="AA169" s="120" t="s">
        <v>498</v>
      </c>
      <c r="AB169" s="120" t="s">
        <v>499</v>
      </c>
      <c r="AC169" s="397">
        <v>175</v>
      </c>
      <c r="AD169" s="397">
        <v>633120</v>
      </c>
      <c r="AE169" s="397">
        <v>3626</v>
      </c>
      <c r="AF169" s="398">
        <v>1.1090009516315743E-2</v>
      </c>
      <c r="AG169" s="398">
        <v>0.21656541157723302</v>
      </c>
    </row>
    <row r="170" spans="1:33" x14ac:dyDescent="0.45">
      <c r="AA170" s="120" t="s">
        <v>500</v>
      </c>
      <c r="AB170" s="120" t="s">
        <v>486</v>
      </c>
      <c r="AC170" s="397">
        <v>39</v>
      </c>
      <c r="AD170" s="397">
        <v>140573</v>
      </c>
      <c r="AE170" s="397">
        <v>3602</v>
      </c>
      <c r="AF170" s="398">
        <v>1.1250674587317346E-2</v>
      </c>
      <c r="AG170" s="398">
        <v>0.21866989839798778</v>
      </c>
    </row>
    <row r="171" spans="1:33" x14ac:dyDescent="0.45">
      <c r="AA171" s="120" t="s">
        <v>501</v>
      </c>
      <c r="AB171" s="120" t="s">
        <v>478</v>
      </c>
      <c r="AC171" s="397">
        <v>83</v>
      </c>
      <c r="AD171" s="397">
        <v>290885</v>
      </c>
      <c r="AE171" s="397">
        <v>3512</v>
      </c>
      <c r="AF171" s="398">
        <v>1.1592602815346398E-2</v>
      </c>
      <c r="AG171" s="398">
        <v>0.22302467242184196</v>
      </c>
    </row>
    <row r="172" spans="1:33" x14ac:dyDescent="0.45">
      <c r="AA172" s="120" t="s">
        <v>502</v>
      </c>
      <c r="AB172" s="120" t="s">
        <v>486</v>
      </c>
      <c r="AC172" s="397">
        <v>40</v>
      </c>
      <c r="AD172" s="397">
        <v>136913</v>
      </c>
      <c r="AE172" s="397">
        <v>3465</v>
      </c>
      <c r="AF172" s="398">
        <v>1.1757387503553169E-2</v>
      </c>
      <c r="AG172" s="398">
        <v>0.22507436620436064</v>
      </c>
    </row>
    <row r="173" spans="1:33" x14ac:dyDescent="0.45">
      <c r="B173" s="418"/>
      <c r="C173" s="418"/>
      <c r="D173" s="418"/>
      <c r="E173" s="419"/>
      <c r="F173" s="420"/>
      <c r="P173" s="46"/>
      <c r="Q173" s="46"/>
      <c r="AA173" s="120" t="s">
        <v>105</v>
      </c>
      <c r="AB173" s="120" t="s">
        <v>476</v>
      </c>
      <c r="AC173" s="397">
        <v>57</v>
      </c>
      <c r="AD173" s="397">
        <v>198019</v>
      </c>
      <c r="AE173" s="397">
        <v>3450</v>
      </c>
      <c r="AF173" s="398">
        <v>1.199220568424782E-2</v>
      </c>
      <c r="AG173" s="398">
        <v>0.2280388641930145</v>
      </c>
    </row>
    <row r="174" spans="1:33" x14ac:dyDescent="0.45">
      <c r="A174" s="421" t="s">
        <v>338</v>
      </c>
      <c r="B174" s="421"/>
      <c r="C174" s="421"/>
      <c r="D174" s="421"/>
      <c r="E174" s="46"/>
      <c r="F174" s="422"/>
      <c r="G174" s="422"/>
      <c r="AA174" s="120" t="s">
        <v>503</v>
      </c>
      <c r="AB174" s="120" t="s">
        <v>486</v>
      </c>
      <c r="AC174" s="397">
        <v>33</v>
      </c>
      <c r="AD174" s="397">
        <v>110570</v>
      </c>
      <c r="AE174" s="397">
        <v>3400</v>
      </c>
      <c r="AF174" s="398">
        <v>1.2128153052018406E-2</v>
      </c>
      <c r="AG174" s="398">
        <v>0.22969418283721257</v>
      </c>
    </row>
    <row r="175" spans="1:33" x14ac:dyDescent="0.45">
      <c r="A175" s="46"/>
      <c r="B175" s="421"/>
      <c r="C175" s="421"/>
      <c r="D175" s="421"/>
      <c r="E175" s="46"/>
      <c r="F175" s="422"/>
      <c r="G175" s="422"/>
      <c r="AA175" s="120" t="s">
        <v>504</v>
      </c>
      <c r="AB175" s="120" t="s">
        <v>486</v>
      </c>
      <c r="AC175" s="397">
        <v>26</v>
      </c>
      <c r="AD175" s="397">
        <v>87845</v>
      </c>
      <c r="AE175" s="397">
        <v>3383</v>
      </c>
      <c r="AF175" s="398">
        <v>1.2235263099352809E-2</v>
      </c>
      <c r="AG175" s="398">
        <v>0.23100929060875619</v>
      </c>
    </row>
    <row r="176" spans="1:33" x14ac:dyDescent="0.45">
      <c r="A176" s="46"/>
      <c r="B176" s="46"/>
      <c r="C176" s="46"/>
      <c r="D176" s="46"/>
      <c r="E176" s="46"/>
      <c r="F176" s="423"/>
      <c r="G176" s="423"/>
      <c r="AA176" s="120" t="s">
        <v>79</v>
      </c>
      <c r="AB176" s="120" t="s">
        <v>476</v>
      </c>
      <c r="AC176" s="397">
        <v>3</v>
      </c>
      <c r="AD176" s="397">
        <v>9721</v>
      </c>
      <c r="AE176" s="397">
        <v>3361</v>
      </c>
      <c r="AF176" s="398">
        <v>1.2247621950968316E-2</v>
      </c>
      <c r="AG176" s="398">
        <v>0.23115482151714228</v>
      </c>
    </row>
    <row r="177" spans="1:33" x14ac:dyDescent="0.45">
      <c r="A177" s="424" t="str">
        <f>MKT!$A$7</f>
        <v>London inner 1</v>
      </c>
      <c r="C177" s="425" t="s">
        <v>214</v>
      </c>
      <c r="D177" s="426"/>
      <c r="E177" s="426"/>
      <c r="F177" s="427">
        <f>IF(F28="0","0",G28*1000000/F28)</f>
        <v>594.22212333191464</v>
      </c>
      <c r="G177" s="423"/>
      <c r="H177" s="427">
        <f>IF(H28="0","0",I28*1000000/H28)</f>
        <v>2231.2002086325347</v>
      </c>
      <c r="I177" s="428"/>
      <c r="J177" s="427">
        <f>IF(J28="0","0",K28*1000000/J28)</f>
        <v>6069.7851443424033</v>
      </c>
      <c r="K177" s="429"/>
      <c r="L177" s="427">
        <f>IF(L28="0","0",M28*1000000/L28)</f>
        <v>20031.880744919246</v>
      </c>
      <c r="M177" s="430"/>
      <c r="N177" s="427">
        <f>IF(N28="0","0",O28*1000000/N28)</f>
        <v>45284.426002282758</v>
      </c>
      <c r="O177" s="430"/>
      <c r="P177" s="427">
        <f>IF(P28="0","0",Q28*1000000/P28)</f>
        <v>55226.073055359186</v>
      </c>
      <c r="Q177" s="430"/>
      <c r="R177" s="427">
        <f>IF(R28="0","0",S28*1000000/R28)</f>
        <v>66336.038001629233</v>
      </c>
      <c r="S177" s="430"/>
      <c r="T177" s="427">
        <f>IF(T28="0","0",U28*1000000/T28)</f>
        <v>70970.371988602405</v>
      </c>
      <c r="U177" s="430"/>
      <c r="V177" s="427">
        <f>IF(V28="0","0",W28*1000000/V28)</f>
        <v>75928.93476987406</v>
      </c>
      <c r="W177" s="430"/>
      <c r="X177" s="427">
        <f>IF(X28="0","0",Y28*1000000/X28)</f>
        <v>81234.419043934045</v>
      </c>
      <c r="Y177" s="430"/>
      <c r="AA177" s="120" t="s">
        <v>505</v>
      </c>
      <c r="AB177" s="120" t="s">
        <v>486</v>
      </c>
      <c r="AC177" s="397">
        <v>25</v>
      </c>
      <c r="AD177" s="397">
        <v>84838</v>
      </c>
      <c r="AE177" s="397">
        <v>3344</v>
      </c>
      <c r="AF177" s="398">
        <v>1.2350612381097548E-2</v>
      </c>
      <c r="AG177" s="398">
        <v>0.23242491216683456</v>
      </c>
    </row>
    <row r="178" spans="1:33" x14ac:dyDescent="0.45">
      <c r="A178" s="424" t="str">
        <f>MKT!$A$7</f>
        <v>London inner 1</v>
      </c>
      <c r="C178" s="425" t="s">
        <v>211</v>
      </c>
      <c r="D178" s="426"/>
      <c r="E178" s="426"/>
      <c r="F178" s="427">
        <f>ROUNDUP((F177*$B$5/$B$7/$B$8),0)</f>
        <v>4</v>
      </c>
      <c r="G178" s="428"/>
      <c r="H178" s="427">
        <f>ROUNDUP((H177*$B$5/$B$7/$B$8),0)</f>
        <v>14</v>
      </c>
      <c r="I178" s="428"/>
      <c r="J178" s="427">
        <f>ROUNDUP((J177*$B$5/$B$7/$B$8),0)</f>
        <v>36</v>
      </c>
      <c r="K178" s="429"/>
      <c r="L178" s="431">
        <f>ROUNDUP((L177*$B$5/$B$7/$B$8),0)</f>
        <v>119</v>
      </c>
      <c r="M178" s="430"/>
      <c r="N178" s="431">
        <f>ROUNDUP((N177*$B$5/$B$7/$B$8),0)</f>
        <v>268</v>
      </c>
      <c r="O178" s="430"/>
      <c r="P178" s="431">
        <f>ROUNDUP((P177*$B$5/$B$7/$B$8),0)</f>
        <v>327</v>
      </c>
      <c r="Q178" s="430"/>
      <c r="R178" s="431">
        <f>ROUNDUP((R177*$B$5/$B$7/$B$8),0)</f>
        <v>393</v>
      </c>
      <c r="S178" s="430"/>
      <c r="T178" s="431">
        <f>ROUNDUP((T177*$B$5/$B$7/$B$8),0)</f>
        <v>420</v>
      </c>
      <c r="U178" s="430"/>
      <c r="V178" s="431">
        <f>ROUNDUP((V177*$B$5/$B$7/$B$8),0)</f>
        <v>450</v>
      </c>
      <c r="W178" s="430"/>
      <c r="X178" s="431">
        <f>ROUNDUP((X177*$B$5/$B$7/$B$8),0)</f>
        <v>481</v>
      </c>
      <c r="Y178" s="432"/>
      <c r="AA178" s="120" t="s">
        <v>506</v>
      </c>
      <c r="AB178" s="120" t="s">
        <v>486</v>
      </c>
      <c r="AC178" s="397">
        <v>46</v>
      </c>
      <c r="AD178" s="397">
        <v>152457</v>
      </c>
      <c r="AE178" s="397">
        <v>3343</v>
      </c>
      <c r="AF178" s="398">
        <v>1.2540114772535336E-2</v>
      </c>
      <c r="AG178" s="398">
        <v>0.23470731168332643</v>
      </c>
    </row>
    <row r="179" spans="1:33" x14ac:dyDescent="0.45">
      <c r="A179" s="424" t="str">
        <f>MKT!$A$7</f>
        <v>London inner 1</v>
      </c>
      <c r="C179" s="425" t="s">
        <v>212</v>
      </c>
      <c r="D179" s="426"/>
      <c r="E179" s="426"/>
      <c r="F179" s="427">
        <f>IF(F178&lt;($C$4+1),0,ROUNDUP((F178-$C$4)/$D$4,0))</f>
        <v>0</v>
      </c>
      <c r="G179" s="428"/>
      <c r="H179" s="427">
        <f>IF(H178&lt;($C$4+1),0,ROUNDUP((H178-$C$4)/$D$4,0))</f>
        <v>0</v>
      </c>
      <c r="I179" s="428"/>
      <c r="J179" s="427">
        <f>IF(J178&lt;($C$4+1),0,ROUNDUP((J178-$C$4)/$D$4,0))</f>
        <v>1</v>
      </c>
      <c r="K179" s="429"/>
      <c r="L179" s="431">
        <f>IF(L178&lt;($C$4+1),0,ROUNDUP((L178-$C$4)/$D$4,0))</f>
        <v>5</v>
      </c>
      <c r="M179" s="430"/>
      <c r="N179" s="431">
        <f>IF(N178&lt;($C$4+1),0,ROUNDUP((N178-$C$4)/$D$4,0))</f>
        <v>12</v>
      </c>
      <c r="O179" s="430"/>
      <c r="P179" s="431">
        <f>IF(P178&lt;($C$4+1),0,ROUNDUP((P178-$C$4)/$D$4,0))</f>
        <v>15</v>
      </c>
      <c r="Q179" s="430"/>
      <c r="R179" s="431">
        <f>IF(R178&lt;($C$4+1),0,ROUNDUP((R178-$C$4)/$D$4,0))</f>
        <v>18</v>
      </c>
      <c r="S179" s="430"/>
      <c r="T179" s="431">
        <f>IF(T178&lt;($C$4+1),0,ROUNDUP((T178-$C$4)/$D$4,0))</f>
        <v>19</v>
      </c>
      <c r="U179" s="430"/>
      <c r="V179" s="431">
        <f>IF(V178&lt;($C$4+1),0,ROUNDUP((V178-$C$4)/$D$4,0))</f>
        <v>20</v>
      </c>
      <c r="W179" s="430"/>
      <c r="X179" s="431">
        <f>IF(X178&lt;($C$4+1),0,ROUNDUP((X178-$C$4)/$D$4,0))</f>
        <v>22</v>
      </c>
      <c r="Y179" s="432"/>
      <c r="AA179" s="120" t="s">
        <v>507</v>
      </c>
      <c r="AB179" s="120" t="s">
        <v>478</v>
      </c>
      <c r="AC179" s="397">
        <v>78</v>
      </c>
      <c r="AD179" s="397">
        <v>257302</v>
      </c>
      <c r="AE179" s="397">
        <v>3297</v>
      </c>
      <c r="AF179" s="398">
        <v>1.2861444914538542E-2</v>
      </c>
      <c r="AG179" s="398">
        <v>0.23855932215442574</v>
      </c>
    </row>
    <row r="180" spans="1:33" x14ac:dyDescent="0.45">
      <c r="A180" s="424" t="str">
        <f>MKT!$A$7</f>
        <v>London inner 1</v>
      </c>
      <c r="C180" s="425" t="s">
        <v>213</v>
      </c>
      <c r="D180" s="426"/>
      <c r="E180" s="426"/>
      <c r="F180" s="427">
        <f>IF(F179&gt;0,(F179-1)*F28,0)</f>
        <v>0</v>
      </c>
      <c r="G180" s="428"/>
      <c r="H180" s="427">
        <f>(H179-F179)*H28</f>
        <v>0</v>
      </c>
      <c r="I180" s="428"/>
      <c r="J180" s="427">
        <f>(J179-H179)*J28</f>
        <v>348.9</v>
      </c>
      <c r="K180" s="429"/>
      <c r="L180" s="431">
        <f>(L179-J179)*L28</f>
        <v>1860.8000000000002</v>
      </c>
      <c r="M180" s="430"/>
      <c r="N180" s="431">
        <f>(N179-L179)*N28</f>
        <v>4070.5</v>
      </c>
      <c r="O180" s="430"/>
      <c r="P180" s="431">
        <f>(P179-N179)*P28</f>
        <v>2093.3999999999996</v>
      </c>
      <c r="Q180" s="430"/>
      <c r="R180" s="431">
        <f>(R179-P179)*R28</f>
        <v>2442.2999999999997</v>
      </c>
      <c r="S180" s="430"/>
      <c r="T180" s="431">
        <f>(T179-R179)*T28</f>
        <v>930.40000000000009</v>
      </c>
      <c r="U180" s="430"/>
      <c r="V180" s="431">
        <f>(V179-T179)*V28</f>
        <v>1046.7</v>
      </c>
      <c r="W180" s="430"/>
      <c r="X180" s="431">
        <f>(X179-V179)*X28</f>
        <v>2326</v>
      </c>
      <c r="Y180" s="433"/>
      <c r="Z180" s="434"/>
      <c r="AA180" s="120" t="s">
        <v>508</v>
      </c>
      <c r="AB180" s="120" t="s">
        <v>483</v>
      </c>
      <c r="AC180" s="397">
        <v>98</v>
      </c>
      <c r="AD180" s="397">
        <v>321596</v>
      </c>
      <c r="AE180" s="397">
        <v>3283</v>
      </c>
      <c r="AF180" s="398">
        <v>1.3265167400645131E-2</v>
      </c>
      <c r="AG180" s="398">
        <v>0.24337386366387243</v>
      </c>
    </row>
    <row r="181" spans="1:33" x14ac:dyDescent="0.45">
      <c r="A181" s="424"/>
      <c r="C181" s="426"/>
      <c r="D181" s="426"/>
      <c r="E181" s="426"/>
      <c r="F181" s="427"/>
      <c r="G181" s="428"/>
      <c r="H181" s="427"/>
      <c r="I181" s="428"/>
      <c r="J181" s="427"/>
      <c r="K181" s="429"/>
      <c r="L181" s="431"/>
      <c r="M181" s="430"/>
      <c r="N181" s="431"/>
      <c r="O181" s="430"/>
      <c r="P181" s="431"/>
      <c r="Q181" s="430"/>
      <c r="R181" s="431"/>
      <c r="S181" s="430"/>
      <c r="T181" s="431"/>
      <c r="U181" s="430"/>
      <c r="V181" s="431"/>
      <c r="W181" s="430"/>
      <c r="X181" s="431"/>
      <c r="Y181" s="432"/>
      <c r="AA181" s="120" t="s">
        <v>509</v>
      </c>
      <c r="AB181" s="120" t="s">
        <v>478</v>
      </c>
      <c r="AC181" s="397">
        <v>80</v>
      </c>
      <c r="AD181" s="397">
        <v>262100</v>
      </c>
      <c r="AE181" s="397">
        <v>3282</v>
      </c>
      <c r="AF181" s="398">
        <v>1.3594736777058676E-2</v>
      </c>
      <c r="AG181" s="398">
        <v>0.24729770391569764</v>
      </c>
    </row>
    <row r="182" spans="1:33" s="369" customFormat="1" x14ac:dyDescent="0.45">
      <c r="A182" s="424" t="str">
        <f>MKT!$A$8</f>
        <v>London inner 2</v>
      </c>
      <c r="C182" s="425" t="s">
        <v>214</v>
      </c>
      <c r="D182" s="426"/>
      <c r="E182" s="426"/>
      <c r="F182" s="435">
        <f>IF(F29="0","0",G29*1000000/F29)</f>
        <v>449.20701278334258</v>
      </c>
      <c r="G182" s="428"/>
      <c r="H182" s="435">
        <f>IF(H29="0","0",I29*1000000/H29)</f>
        <v>1686.6938158099399</v>
      </c>
      <c r="I182" s="428"/>
      <c r="J182" s="435">
        <f>IF(J29="0","0",K29*1000000/J29)</f>
        <v>4588.5030965159294</v>
      </c>
      <c r="K182" s="436"/>
      <c r="L182" s="435">
        <f>IF(L29="0","0",M29*1000000/L29)</f>
        <v>15143.262016905863</v>
      </c>
      <c r="M182" s="437"/>
      <c r="N182" s="435">
        <f>IF(N29="0","0",O29*1000000/N29)</f>
        <v>34233.127531556551</v>
      </c>
      <c r="O182" s="437"/>
      <c r="P182" s="435">
        <f>IF(P29="0","0",Q29*1000000/P29)</f>
        <v>41748.595905264832</v>
      </c>
      <c r="Q182" s="437"/>
      <c r="R182" s="435">
        <f>IF(R29="0","0",S29*1000000/R29)</f>
        <v>50147.26362510326</v>
      </c>
      <c r="S182" s="438"/>
      <c r="T182" s="435">
        <f>IF(T29="0","0",U29*1000000/T29)</f>
        <v>53650.625827196382</v>
      </c>
      <c r="U182" s="438"/>
      <c r="V182" s="435">
        <f>IF(V29="0","0",W29*1000000/V29)</f>
        <v>57399.091404654406</v>
      </c>
      <c r="W182" s="438"/>
      <c r="X182" s="435">
        <f>IF(X29="0","0",Y29*1000000/X29)</f>
        <v>61409.815086156035</v>
      </c>
      <c r="Y182" s="439"/>
      <c r="AA182" s="369" t="s">
        <v>510</v>
      </c>
      <c r="AB182" s="369" t="s">
        <v>486</v>
      </c>
      <c r="AC182" s="440">
        <v>41</v>
      </c>
      <c r="AD182" s="440">
        <v>129128</v>
      </c>
      <c r="AE182" s="440">
        <v>3184</v>
      </c>
      <c r="AF182" s="441">
        <v>1.3763641082470617E-2</v>
      </c>
      <c r="AG182" s="441">
        <v>0.24923085021114857</v>
      </c>
    </row>
    <row r="183" spans="1:33" s="369" customFormat="1" x14ac:dyDescent="0.45">
      <c r="A183" s="424" t="str">
        <f>MKT!$A$8</f>
        <v>London inner 2</v>
      </c>
      <c r="C183" s="425" t="s">
        <v>211</v>
      </c>
      <c r="D183" s="426"/>
      <c r="E183" s="426"/>
      <c r="F183" s="427">
        <f>ROUNDUP((F182*$B$5/$B$7/$B$8),0)</f>
        <v>3</v>
      </c>
      <c r="G183" s="428"/>
      <c r="H183" s="427">
        <f>ROUNDUP((H182*$B$5/$B$7/$B$8),0)</f>
        <v>10</v>
      </c>
      <c r="I183" s="428"/>
      <c r="J183" s="427">
        <f>ROUNDUP((J182*$B$5/$B$7/$B$8),0)</f>
        <v>28</v>
      </c>
      <c r="K183" s="436"/>
      <c r="L183" s="431">
        <f>ROUNDUP((L182*$B$5/$B$7/$B$8),0)</f>
        <v>90</v>
      </c>
      <c r="M183" s="437"/>
      <c r="N183" s="431">
        <f>ROUNDUP((N182*$B$5/$B$7/$B$8),0)</f>
        <v>203</v>
      </c>
      <c r="O183" s="437"/>
      <c r="P183" s="431">
        <f>ROUNDUP((P182*$B$5/$B$7/$B$8),0)</f>
        <v>248</v>
      </c>
      <c r="Q183" s="437"/>
      <c r="R183" s="431">
        <f>ROUNDUP((R182*$B$5/$B$7/$B$8),0)</f>
        <v>297</v>
      </c>
      <c r="S183" s="438"/>
      <c r="T183" s="431">
        <f>ROUNDUP((T182*$B$5/$B$7/$B$8),0)</f>
        <v>318</v>
      </c>
      <c r="U183" s="438"/>
      <c r="V183" s="431">
        <f>ROUNDUP((V182*$B$5/$B$7/$B$8),0)</f>
        <v>340</v>
      </c>
      <c r="W183" s="438"/>
      <c r="X183" s="431">
        <f>ROUNDUP((X182*$B$5/$B$7/$B$8),0)</f>
        <v>364</v>
      </c>
      <c r="Y183" s="439"/>
      <c r="AA183" s="369" t="s">
        <v>511</v>
      </c>
      <c r="AB183" s="369" t="s">
        <v>486</v>
      </c>
      <c r="AC183" s="440">
        <v>30</v>
      </c>
      <c r="AD183" s="440">
        <v>92661</v>
      </c>
      <c r="AE183" s="440">
        <v>3110</v>
      </c>
      <c r="AF183" s="441">
        <v>1.3887229598625695E-2</v>
      </c>
      <c r="AG183" s="441">
        <v>0.25061805723737662</v>
      </c>
    </row>
    <row r="184" spans="1:33" s="369" customFormat="1" x14ac:dyDescent="0.45">
      <c r="A184" s="424" t="str">
        <f>MKT!$A$8</f>
        <v>London inner 2</v>
      </c>
      <c r="C184" s="425" t="s">
        <v>212</v>
      </c>
      <c r="D184" s="426"/>
      <c r="E184" s="426"/>
      <c r="F184" s="427">
        <f>IF(F29="",0,IF(F183&lt;($C$4+1),0,ROUNDUP((F183-$C$4)/$D$4,0)))</f>
        <v>0</v>
      </c>
      <c r="G184" s="428"/>
      <c r="H184" s="427">
        <f>IF(H29="",0,IF(H183&lt;($C$4+1),0,ROUNDUP((H183-$C$4)/$D$4,0)))</f>
        <v>0</v>
      </c>
      <c r="I184" s="428"/>
      <c r="J184" s="427">
        <f>IF(J29="",0,IF(J183&lt;($C$4+1),0,ROUNDUP((J183-$C$4)/$D$4,0)))</f>
        <v>1</v>
      </c>
      <c r="K184" s="436"/>
      <c r="L184" s="431">
        <f>IF(L29="",0,IF(L183&lt;($C$4+1),0,ROUNDUP((L183-$C$4)/$D$4,0)))</f>
        <v>4</v>
      </c>
      <c r="M184" s="437"/>
      <c r="N184" s="431">
        <f>IF(N29="",0,IF(N183&lt;($C$4+1),0,ROUNDUP((N183-$C$4)/$D$4,0)))</f>
        <v>9</v>
      </c>
      <c r="O184" s="437"/>
      <c r="P184" s="431">
        <f>IF(P29="",0,IF(P183&lt;($C$4+1),0,ROUNDUP((P183-$C$4)/$D$4,0)))</f>
        <v>11</v>
      </c>
      <c r="Q184" s="437"/>
      <c r="R184" s="431">
        <f>IF(R29="",0,IF(R183&lt;($C$4+1),0,ROUNDUP((R183-$C$4)/$D$4,0)))</f>
        <v>13</v>
      </c>
      <c r="S184" s="438"/>
      <c r="T184" s="431">
        <f>IF(T29="",0,IF(T183&lt;($C$4+1),0,ROUNDUP((T183-$C$4)/$D$4,0)))</f>
        <v>14</v>
      </c>
      <c r="U184" s="438"/>
      <c r="V184" s="431">
        <f>IF(V29="",0,IF(V183&lt;($C$4+1),0,ROUNDUP((V183-$C$4)/$D$4,0)))</f>
        <v>15</v>
      </c>
      <c r="W184" s="438"/>
      <c r="X184" s="431">
        <f>IF(X29="",0,IF(X183&lt;($C$4+1),0,ROUNDUP((X183-$C$4)/$D$4,0)))</f>
        <v>16</v>
      </c>
      <c r="Y184" s="439"/>
      <c r="AA184" s="369" t="s">
        <v>512</v>
      </c>
      <c r="AB184" s="369" t="s">
        <v>486</v>
      </c>
      <c r="AC184" s="440">
        <v>41</v>
      </c>
      <c r="AD184" s="440">
        <v>124798</v>
      </c>
      <c r="AE184" s="440">
        <v>3066</v>
      </c>
      <c r="AF184" s="441">
        <v>1.4056133904037637E-2</v>
      </c>
      <c r="AG184" s="441">
        <v>0.25248638007502366</v>
      </c>
    </row>
    <row r="185" spans="1:33" s="369" customFormat="1" x14ac:dyDescent="0.45">
      <c r="A185" s="424" t="str">
        <f>MKT!$A$8</f>
        <v>London inner 2</v>
      </c>
      <c r="C185" s="425" t="s">
        <v>213</v>
      </c>
      <c r="D185" s="426"/>
      <c r="E185" s="426"/>
      <c r="F185" s="427">
        <f>IF(F184&gt;0,(F184-1)*F29,0)</f>
        <v>0</v>
      </c>
      <c r="G185" s="428"/>
      <c r="H185" s="427">
        <f>(H184-F184)*H29</f>
        <v>0</v>
      </c>
      <c r="I185" s="428"/>
      <c r="J185" s="427">
        <f>(J184-H184)*J29</f>
        <v>339.59999999999997</v>
      </c>
      <c r="K185" s="436"/>
      <c r="L185" s="431">
        <f>(L184-J184)*L29</f>
        <v>1358.4</v>
      </c>
      <c r="M185" s="437"/>
      <c r="N185" s="431">
        <f>(N184-L184)*N29</f>
        <v>2830</v>
      </c>
      <c r="O185" s="437"/>
      <c r="P185" s="431">
        <f>(P184-N184)*P29</f>
        <v>1358.3999999999999</v>
      </c>
      <c r="Q185" s="437"/>
      <c r="R185" s="431">
        <f>(R184-P184)*R29</f>
        <v>1584.8</v>
      </c>
      <c r="S185" s="438"/>
      <c r="T185" s="431">
        <f>(T184-R184)*T29</f>
        <v>905.6</v>
      </c>
      <c r="U185" s="438"/>
      <c r="V185" s="431">
        <f>(V184-T184)*V29</f>
        <v>1018.8000000000001</v>
      </c>
      <c r="W185" s="438"/>
      <c r="X185" s="431">
        <f>(X184-V184)*X29</f>
        <v>1132</v>
      </c>
      <c r="Y185" s="439"/>
      <c r="AA185" s="369" t="s">
        <v>513</v>
      </c>
      <c r="AB185" s="369" t="s">
        <v>486</v>
      </c>
      <c r="AC185" s="440">
        <v>33</v>
      </c>
      <c r="AD185" s="440">
        <v>101222</v>
      </c>
      <c r="AE185" s="440">
        <v>3042</v>
      </c>
      <c r="AF185" s="441">
        <v>1.4192081271808224E-2</v>
      </c>
      <c r="AG185" s="441">
        <v>0.25400175191008756</v>
      </c>
    </row>
    <row r="186" spans="1:33" s="369" customFormat="1" x14ac:dyDescent="0.45">
      <c r="A186" s="424"/>
      <c r="C186" s="442"/>
      <c r="D186" s="426"/>
      <c r="E186" s="426"/>
      <c r="F186" s="427"/>
      <c r="G186" s="428"/>
      <c r="H186" s="427"/>
      <c r="I186" s="428"/>
      <c r="J186" s="427"/>
      <c r="K186" s="436"/>
      <c r="L186" s="431"/>
      <c r="M186" s="437"/>
      <c r="N186" s="431"/>
      <c r="O186" s="437"/>
      <c r="P186" s="431"/>
      <c r="Q186" s="437"/>
      <c r="R186" s="431"/>
      <c r="S186" s="438"/>
      <c r="T186" s="431"/>
      <c r="U186" s="438"/>
      <c r="V186" s="431"/>
      <c r="W186" s="438"/>
      <c r="X186" s="431"/>
      <c r="Y186" s="439"/>
      <c r="AA186" s="369" t="s">
        <v>514</v>
      </c>
      <c r="AB186" s="369" t="s">
        <v>486</v>
      </c>
      <c r="AC186" s="440">
        <v>31</v>
      </c>
      <c r="AD186" s="440">
        <v>87067</v>
      </c>
      <c r="AE186" s="440">
        <v>2851</v>
      </c>
      <c r="AF186" s="441">
        <v>1.4319789405168471E-2</v>
      </c>
      <c r="AG186" s="441">
        <v>0.25530521241831217</v>
      </c>
    </row>
    <row r="187" spans="1:33" s="369" customFormat="1" x14ac:dyDescent="0.45">
      <c r="A187" s="424" t="str">
        <f>MKT!$A$9</f>
        <v>London outer</v>
      </c>
      <c r="C187" s="425" t="s">
        <v>214</v>
      </c>
      <c r="E187" s="426"/>
      <c r="F187" s="435">
        <f>IF(F30="0","0",G30*1000000/F30)</f>
        <v>233.00666812955345</v>
      </c>
      <c r="G187" s="428"/>
      <c r="H187" s="435">
        <f>IF(H30="0","0",I30*1000000/H30)</f>
        <v>874.89931143650767</v>
      </c>
      <c r="I187" s="428"/>
      <c r="J187" s="435">
        <f>IF(J30="0","0",K30*1000000/J30)</f>
        <v>2380.0871041543137</v>
      </c>
      <c r="K187" s="436"/>
      <c r="L187" s="435">
        <f>IF(L30="0","0",M30*1000000/L30)</f>
        <v>7854.9108245420093</v>
      </c>
      <c r="M187" s="437"/>
      <c r="N187" s="435">
        <f>IF(N30="0","0",O30*1000000/N30)</f>
        <v>17756.951157904681</v>
      </c>
      <c r="O187" s="437"/>
      <c r="P187" s="435">
        <f>IF(P30="0","0",Q30*1000000/P30)</f>
        <v>21655.274637630497</v>
      </c>
      <c r="Q187" s="437"/>
      <c r="R187" s="435">
        <f>IF(R30="0","0",S30*1000000/R30)</f>
        <v>26011.719498099868</v>
      </c>
      <c r="S187" s="438"/>
      <c r="T187" s="435">
        <f>IF(T30="0","0",U30*1000000/T30)</f>
        <v>27828.936795983966</v>
      </c>
      <c r="U187" s="438"/>
      <c r="V187" s="435">
        <f>IF(V30="0","0",W30*1000000/V30)</f>
        <v>29773.290846447278</v>
      </c>
      <c r="W187" s="438"/>
      <c r="X187" s="435">
        <f>IF(X30="0","0",Y30*1000000/X30)</f>
        <v>31853.679921463168</v>
      </c>
      <c r="Y187" s="439"/>
      <c r="AA187" s="369" t="s">
        <v>515</v>
      </c>
      <c r="AB187" s="369" t="s">
        <v>486</v>
      </c>
      <c r="AC187" s="440">
        <v>47</v>
      </c>
      <c r="AD187" s="440">
        <v>131405</v>
      </c>
      <c r="AE187" s="440">
        <v>2794</v>
      </c>
      <c r="AF187" s="441">
        <v>1.4513411413811428E-2</v>
      </c>
      <c r="AG187" s="441">
        <v>0.25727244716951814</v>
      </c>
    </row>
    <row r="188" spans="1:33" s="369" customFormat="1" x14ac:dyDescent="0.45">
      <c r="A188" s="424" t="str">
        <f>MKT!$A$9</f>
        <v>London outer</v>
      </c>
      <c r="C188" s="425" t="s">
        <v>211</v>
      </c>
      <c r="E188" s="426"/>
      <c r="F188" s="427">
        <f>IF(F187="","-",ROUNDUP((F187*$B$5/$B$7/$B$8),0))</f>
        <v>2</v>
      </c>
      <c r="G188" s="428"/>
      <c r="H188" s="427">
        <f>ROUNDUP((H187*$B$5/$B$7/$B$8),0)</f>
        <v>6</v>
      </c>
      <c r="I188" s="428"/>
      <c r="J188" s="427">
        <f>ROUNDUP((J187*$B$5/$B$7/$B$8),0)</f>
        <v>15</v>
      </c>
      <c r="K188" s="436"/>
      <c r="L188" s="431">
        <f>ROUNDUP((L187*$B$5/$B$7/$B$8),0)</f>
        <v>47</v>
      </c>
      <c r="M188" s="437"/>
      <c r="N188" s="431">
        <f>ROUNDUP((N187*$B$5/$B$7/$B$8),0)</f>
        <v>106</v>
      </c>
      <c r="O188" s="437"/>
      <c r="P188" s="431">
        <f>ROUNDUP((P187*$B$5/$B$7/$B$8),0)</f>
        <v>129</v>
      </c>
      <c r="Q188" s="437"/>
      <c r="R188" s="431">
        <f>ROUNDUP((R187*$B$5/$B$7/$B$8),0)</f>
        <v>154</v>
      </c>
      <c r="S188" s="438"/>
      <c r="T188" s="431">
        <f>ROUNDUP((T187*$B$5/$B$7/$B$8),0)</f>
        <v>165</v>
      </c>
      <c r="U188" s="438"/>
      <c r="V188" s="431">
        <f>ROUNDUP((V187*$B$5/$B$7/$B$8),0)</f>
        <v>177</v>
      </c>
      <c r="W188" s="438"/>
      <c r="X188" s="431">
        <f>ROUNDUP((X187*$B$5/$B$7/$B$8),0)</f>
        <v>189</v>
      </c>
      <c r="Y188" s="439"/>
      <c r="AA188" s="369" t="s">
        <v>516</v>
      </c>
      <c r="AB188" s="369" t="s">
        <v>486</v>
      </c>
      <c r="AC188" s="440">
        <v>36</v>
      </c>
      <c r="AD188" s="440">
        <v>99299</v>
      </c>
      <c r="AE188" s="440">
        <v>2782</v>
      </c>
      <c r="AF188" s="441">
        <v>1.4661717633197523E-2</v>
      </c>
      <c r="AG188" s="441">
        <v>0.2587590302033449</v>
      </c>
    </row>
    <row r="189" spans="1:33" s="369" customFormat="1" x14ac:dyDescent="0.45">
      <c r="A189" s="424" t="str">
        <f>MKT!$A$9</f>
        <v>London outer</v>
      </c>
      <c r="C189" s="425" t="s">
        <v>212</v>
      </c>
      <c r="E189" s="426"/>
      <c r="F189" s="427">
        <f>IF(F30="",0,IF(F188="","-",IF(F188&lt;($C$4+1),0,ROUNDUP((F188-$C$4)/$D$4,0))))</f>
        <v>0</v>
      </c>
      <c r="G189" s="428"/>
      <c r="H189" s="427">
        <f>IF(H30="",0,IF(H188="","-",IF(H188&lt;($C$4+1),0,ROUNDUP((H188-$C$4)/$D$4,0))))</f>
        <v>0</v>
      </c>
      <c r="I189" s="428"/>
      <c r="J189" s="427">
        <f>IF(J30="",0,IF(J188="","-",IF(J188&lt;($C$4+1),0,ROUNDUP((J188-$C$4)/$D$4,0))))</f>
        <v>0</v>
      </c>
      <c r="K189" s="436"/>
      <c r="L189" s="431">
        <f>IF(L30="",0,IF(L188="","-",IF(L188&lt;($C$4+1),0,ROUNDUP((L188-$C$4)/$D$4,0))))</f>
        <v>2</v>
      </c>
      <c r="M189" s="437"/>
      <c r="N189" s="431">
        <f>IF(N30="",0,IF(N188="","-",IF(N188&lt;($C$4+1),0,ROUNDUP((N188-$C$4)/$D$4,0))))</f>
        <v>5</v>
      </c>
      <c r="O189" s="437"/>
      <c r="P189" s="431">
        <f>IF(P30="",0,IF(P188="","-",IF(P188&lt;($C$4+1),0,ROUNDUP((P188-$C$4)/$D$4,0))))</f>
        <v>6</v>
      </c>
      <c r="Q189" s="437"/>
      <c r="R189" s="431">
        <f>IF(R30="",0,IF(R188="","-",IF(R188&lt;($C$4+1),0,ROUNDUP((R188-$C$4)/$D$4,0))))</f>
        <v>7</v>
      </c>
      <c r="S189" s="438"/>
      <c r="T189" s="431">
        <f>IF(T30="",0,IF(T188="","-",IF(T188&lt;($C$4+1),0,ROUNDUP((T188-$C$4)/$D$4,0))))</f>
        <v>7</v>
      </c>
      <c r="U189" s="438"/>
      <c r="V189" s="431">
        <f>IF(V30="",0,IF(V188="","-",IF(V188&lt;($C$4+1),0,ROUNDUP((V188-$C$4)/$D$4,0))))</f>
        <v>8</v>
      </c>
      <c r="W189" s="438"/>
      <c r="X189" s="431">
        <f>IF(X30="",0,IF(X188="","-",IF(X188&lt;($C$4+1),0,ROUNDUP((X188-$C$4)/$D$4,0))))</f>
        <v>8</v>
      </c>
      <c r="Y189" s="439"/>
      <c r="AA189" s="369" t="s">
        <v>517</v>
      </c>
      <c r="AB189" s="369" t="s">
        <v>486</v>
      </c>
      <c r="AC189" s="440">
        <v>81</v>
      </c>
      <c r="AD189" s="440">
        <v>224610</v>
      </c>
      <c r="AE189" s="440">
        <v>2781</v>
      </c>
      <c r="AF189" s="441">
        <v>1.4995406626816235E-2</v>
      </c>
      <c r="AG189" s="441">
        <v>0.26212161608263701</v>
      </c>
    </row>
    <row r="190" spans="1:33" s="369" customFormat="1" x14ac:dyDescent="0.45">
      <c r="A190" s="424" t="str">
        <f>MKT!$A$9</f>
        <v>London outer</v>
      </c>
      <c r="C190" s="425" t="s">
        <v>213</v>
      </c>
      <c r="D190" s="426"/>
      <c r="E190" s="426"/>
      <c r="F190" s="427">
        <f>IF(F189&gt;0,(F189-1)*F30,0)</f>
        <v>0</v>
      </c>
      <c r="G190" s="428"/>
      <c r="H190" s="427">
        <f>(H189-F189)*H30</f>
        <v>0</v>
      </c>
      <c r="I190" s="428"/>
      <c r="J190" s="427">
        <f>(J189-H189)*J30</f>
        <v>0</v>
      </c>
      <c r="K190" s="436"/>
      <c r="L190" s="431">
        <f>(L189-J189)*L30</f>
        <v>6641.6</v>
      </c>
      <c r="M190" s="437"/>
      <c r="N190" s="431">
        <f>(N189-L189)*N30</f>
        <v>12453</v>
      </c>
      <c r="O190" s="437"/>
      <c r="P190" s="431">
        <f>(P189-N189)*P30</f>
        <v>4981.2</v>
      </c>
      <c r="Q190" s="437"/>
      <c r="R190" s="431">
        <f>(R189-P189)*R30</f>
        <v>5811.4</v>
      </c>
      <c r="S190" s="438"/>
      <c r="T190" s="431">
        <f>(T189-R189)*T30</f>
        <v>0</v>
      </c>
      <c r="U190" s="438"/>
      <c r="V190" s="431">
        <f>(V189-T189)*V30</f>
        <v>7471.8</v>
      </c>
      <c r="W190" s="438"/>
      <c r="X190" s="431">
        <f>(X189-V189)*X30</f>
        <v>0</v>
      </c>
      <c r="Y190" s="439"/>
      <c r="AA190" s="369" t="s">
        <v>518</v>
      </c>
      <c r="AB190" s="369" t="s">
        <v>483</v>
      </c>
      <c r="AC190" s="440">
        <v>104</v>
      </c>
      <c r="AD190" s="440">
        <v>285478</v>
      </c>
      <c r="AE190" s="440">
        <v>2746</v>
      </c>
      <c r="AF190" s="441">
        <v>1.5423846816153842E-2</v>
      </c>
      <c r="AG190" s="441">
        <v>0.26639544312350139</v>
      </c>
    </row>
    <row r="191" spans="1:33" s="369" customFormat="1" x14ac:dyDescent="0.45">
      <c r="A191" s="424"/>
      <c r="C191" s="442"/>
      <c r="D191" s="426"/>
      <c r="E191" s="426"/>
      <c r="F191" s="427"/>
      <c r="G191" s="428"/>
      <c r="H191" s="427"/>
      <c r="I191" s="428"/>
      <c r="J191" s="427"/>
      <c r="K191" s="436"/>
      <c r="L191" s="431"/>
      <c r="M191" s="437"/>
      <c r="N191" s="431"/>
      <c r="O191" s="437"/>
      <c r="P191" s="431"/>
      <c r="Q191" s="437"/>
      <c r="R191" s="431"/>
      <c r="S191" s="438"/>
      <c r="T191" s="431"/>
      <c r="U191" s="438"/>
      <c r="V191" s="431"/>
      <c r="W191" s="438"/>
      <c r="X191" s="431"/>
      <c r="Y191" s="439"/>
      <c r="AA191" s="369" t="s">
        <v>519</v>
      </c>
      <c r="AB191" s="369" t="s">
        <v>478</v>
      </c>
      <c r="AC191" s="440">
        <v>93</v>
      </c>
      <c r="AD191" s="440">
        <v>256375</v>
      </c>
      <c r="AE191" s="440">
        <v>2743</v>
      </c>
      <c r="AF191" s="441">
        <v>1.5806971216234589E-2</v>
      </c>
      <c r="AG191" s="441">
        <v>0.27023357568573597</v>
      </c>
    </row>
    <row r="192" spans="1:33" s="369" customFormat="1" x14ac:dyDescent="0.45">
      <c r="A192" s="424" t="str">
        <f>MKT!$A$10</f>
        <v>Southeast</v>
      </c>
      <c r="C192" s="425" t="s">
        <v>214</v>
      </c>
      <c r="D192" s="426"/>
      <c r="E192" s="426"/>
      <c r="F192" s="435">
        <f>IF(F31="0","0",G31*1000000/F31)</f>
        <v>172.76595618769585</v>
      </c>
      <c r="G192" s="428"/>
      <c r="H192" s="435">
        <f>IF(H31="0","0",I31*1000000/H31)</f>
        <v>648.70596760880198</v>
      </c>
      <c r="I192" s="428"/>
      <c r="J192" s="435">
        <f>IF(J31="0","0",K31*1000000/J31)</f>
        <v>1764.7478832262211</v>
      </c>
      <c r="K192" s="436"/>
      <c r="L192" s="435">
        <f>IF(L31="0","0",M31*1000000/L31)</f>
        <v>5824.1302288248098</v>
      </c>
      <c r="M192" s="437"/>
      <c r="N192" s="435">
        <f>IF(N31="0","0",O31*1000000/N31)</f>
        <v>13166.132413291698</v>
      </c>
      <c r="O192" s="437"/>
      <c r="P192" s="435">
        <f>IF(P31="0","0",Q31*1000000/P31)</f>
        <v>16056.597260972823</v>
      </c>
      <c r="Q192" s="437"/>
      <c r="R192" s="435">
        <f>IF(R31="0","0",S31*1000000/R31)</f>
        <v>19286.742423511638</v>
      </c>
      <c r="S192" s="438"/>
      <c r="T192" s="435">
        <f>IF(T31="0","0",U31*1000000/T31)</f>
        <v>20634.142850246237</v>
      </c>
      <c r="U192" s="438"/>
      <c r="V192" s="435">
        <f>IF(V31="0","0",W31*1000000/V31)</f>
        <v>22075.810547536948</v>
      </c>
      <c r="W192" s="438"/>
      <c r="X192" s="435">
        <f>IF(X31="0","0",Y31*1000000/X31)</f>
        <v>23618.343259895704</v>
      </c>
      <c r="Y192" s="439"/>
      <c r="AA192" s="369" t="s">
        <v>520</v>
      </c>
      <c r="AB192" s="369" t="s">
        <v>483</v>
      </c>
      <c r="AC192" s="440">
        <v>113</v>
      </c>
      <c r="AD192" s="440">
        <v>302820</v>
      </c>
      <c r="AE192" s="440">
        <v>2669</v>
      </c>
      <c r="AF192" s="441">
        <v>1.6272487960418719E-2</v>
      </c>
      <c r="AG192" s="441">
        <v>0.27476702591487645</v>
      </c>
    </row>
    <row r="193" spans="1:33" s="369" customFormat="1" x14ac:dyDescent="0.45">
      <c r="A193" s="424" t="str">
        <f>MKT!$A$10</f>
        <v>Southeast</v>
      </c>
      <c r="C193" s="425" t="s">
        <v>211</v>
      </c>
      <c r="D193" s="426"/>
      <c r="E193" s="426"/>
      <c r="F193" s="435">
        <f>ROUNDUP((F192*$B$5/$B$7/$B$8),0)</f>
        <v>2</v>
      </c>
      <c r="G193" s="428"/>
      <c r="H193" s="427">
        <f>ROUNDUP((H192*$B$5/$B$7/$B$8),0)</f>
        <v>4</v>
      </c>
      <c r="I193" s="428"/>
      <c r="J193" s="427">
        <f>ROUNDUP((J192*$B$5/$B$7/$B$8),0)</f>
        <v>11</v>
      </c>
      <c r="K193" s="436"/>
      <c r="L193" s="431">
        <f>ROUNDUP((L192*$B$5/$B$7/$B$8),0)</f>
        <v>35</v>
      </c>
      <c r="M193" s="437"/>
      <c r="N193" s="431">
        <f>ROUNDUP((N192*$B$5/$B$7/$B$8),0)</f>
        <v>78</v>
      </c>
      <c r="O193" s="437"/>
      <c r="P193" s="431">
        <f>ROUNDUP((P192*$B$5/$B$7/$B$8),0)</f>
        <v>96</v>
      </c>
      <c r="Q193" s="437"/>
      <c r="R193" s="431">
        <f>ROUNDUP((R192*$B$5/$B$7/$B$8),0)</f>
        <v>115</v>
      </c>
      <c r="S193" s="438"/>
      <c r="T193" s="431">
        <f>ROUNDUP((T192*$B$5/$B$7/$B$8),0)</f>
        <v>123</v>
      </c>
      <c r="U193" s="438"/>
      <c r="V193" s="431">
        <f>ROUNDUP((V192*$B$5/$B$7/$B$8),0)</f>
        <v>131</v>
      </c>
      <c r="W193" s="438"/>
      <c r="X193" s="431">
        <f>ROUNDUP((X192*$B$5/$B$7/$B$8),0)</f>
        <v>140</v>
      </c>
      <c r="Y193" s="439"/>
      <c r="AA193" s="369" t="s">
        <v>521</v>
      </c>
      <c r="AB193" s="369" t="s">
        <v>483</v>
      </c>
      <c r="AC193" s="440">
        <v>97</v>
      </c>
      <c r="AD193" s="440">
        <v>258834</v>
      </c>
      <c r="AE193" s="440">
        <v>2663</v>
      </c>
      <c r="AF193" s="441">
        <v>1.6672090829320141E-2</v>
      </c>
      <c r="AG193" s="441">
        <v>0.27864197161400245</v>
      </c>
    </row>
    <row r="194" spans="1:33" s="369" customFormat="1" x14ac:dyDescent="0.45">
      <c r="A194" s="424" t="str">
        <f>MKT!$A$10</f>
        <v>Southeast</v>
      </c>
      <c r="C194" s="425" t="s">
        <v>212</v>
      </c>
      <c r="D194" s="426"/>
      <c r="E194" s="426"/>
      <c r="F194" s="435">
        <f>IF(F31="",0,IF(F193&lt;($C$4+1),0,ROUNDUP((F193-$C$4)/$D$4,0)))</f>
        <v>0</v>
      </c>
      <c r="G194" s="428"/>
      <c r="H194" s="427">
        <f>IF(H31="",0,IF(H193&lt;($C$4+1),0,ROUNDUP((H193-$C$4)/$D$4,0)))</f>
        <v>0</v>
      </c>
      <c r="I194" s="428"/>
      <c r="J194" s="427">
        <f>IF(J31="",0,IF(J193&lt;($C$4+1),0,ROUNDUP((J193-$C$4)/$D$4,0)))</f>
        <v>0</v>
      </c>
      <c r="K194" s="436"/>
      <c r="L194" s="431">
        <f>IF(L31="",0,IF(L193&lt;($C$4+1),0,ROUNDUP((L193-$C$4)/$D$4,0)))</f>
        <v>1</v>
      </c>
      <c r="M194" s="437"/>
      <c r="N194" s="431">
        <f>IF(N31="",0,IF(N193&lt;($C$4+1),0,ROUNDUP((N193-$C$4)/$D$4,0)))</f>
        <v>3</v>
      </c>
      <c r="O194" s="437"/>
      <c r="P194" s="431">
        <f>IF(P31="",0,IF(P193&lt;($C$4+1),0,ROUNDUP((P193-$C$4)/$D$4,0)))</f>
        <v>4</v>
      </c>
      <c r="Q194" s="437"/>
      <c r="R194" s="431">
        <f>IF(R31="",0,IF(R193&lt;($C$4+1),0,ROUNDUP((R193-$C$4)/$D$4,0)))</f>
        <v>5</v>
      </c>
      <c r="S194" s="438"/>
      <c r="T194" s="431">
        <f>IF(T31="",0,IF(T193&lt;($C$4+1),0,ROUNDUP((T193-$C$4)/$D$4,0)))</f>
        <v>5</v>
      </c>
      <c r="U194" s="438"/>
      <c r="V194" s="431">
        <f>IF(V31="",0,IF(V193&lt;($C$4+1),0,ROUNDUP((V193-$C$4)/$D$4,0)))</f>
        <v>6</v>
      </c>
      <c r="W194" s="438"/>
      <c r="X194" s="431">
        <f>IF(X31="",0,IF(X193&lt;($C$4+1),0,ROUNDUP((X193-$C$4)/$D$4,0)))</f>
        <v>6</v>
      </c>
      <c r="Y194" s="439"/>
      <c r="AA194" s="369" t="s">
        <v>95</v>
      </c>
      <c r="AB194" s="369" t="s">
        <v>476</v>
      </c>
      <c r="AC194" s="440">
        <v>116</v>
      </c>
      <c r="AD194" s="440">
        <v>306870</v>
      </c>
      <c r="AE194" s="440">
        <v>2652</v>
      </c>
      <c r="AF194" s="441">
        <v>1.7149966425119779E-2</v>
      </c>
      <c r="AG194" s="441">
        <v>0.28323605348381398</v>
      </c>
    </row>
    <row r="195" spans="1:33" s="369" customFormat="1" x14ac:dyDescent="0.45">
      <c r="A195" s="424" t="str">
        <f>MKT!$A$10</f>
        <v>Southeast</v>
      </c>
      <c r="C195" s="425" t="s">
        <v>213</v>
      </c>
      <c r="D195" s="426"/>
      <c r="E195" s="426"/>
      <c r="F195" s="435">
        <f>IF(F194&gt;0,(F194-1)*F31,0)</f>
        <v>0</v>
      </c>
      <c r="G195" s="428"/>
      <c r="H195" s="427">
        <f>(H194-F194)*H31</f>
        <v>0</v>
      </c>
      <c r="I195" s="428"/>
      <c r="J195" s="427">
        <f>(J194-H194)*J31</f>
        <v>0</v>
      </c>
      <c r="K195" s="436"/>
      <c r="L195" s="431">
        <f>(L194-J194)*L31</f>
        <v>4754</v>
      </c>
      <c r="M195" s="437"/>
      <c r="N195" s="431">
        <f>(N194-L194)*N31</f>
        <v>11885</v>
      </c>
      <c r="O195" s="437"/>
      <c r="P195" s="431">
        <f>(P194-N194)*P31</f>
        <v>7131</v>
      </c>
      <c r="Q195" s="437"/>
      <c r="R195" s="431">
        <f>(R194-P194)*R31</f>
        <v>8319.5</v>
      </c>
      <c r="S195" s="438"/>
      <c r="T195" s="431">
        <f>(T194-R194)*T31</f>
        <v>0</v>
      </c>
      <c r="U195" s="438"/>
      <c r="V195" s="431">
        <f>(V194-T194)*V31</f>
        <v>10696.5</v>
      </c>
      <c r="W195" s="438"/>
      <c r="X195" s="431">
        <f>(X194-V194)*X31</f>
        <v>0</v>
      </c>
      <c r="Y195" s="439"/>
      <c r="AA195" s="369" t="s">
        <v>522</v>
      </c>
      <c r="AB195" s="369" t="s">
        <v>478</v>
      </c>
      <c r="AC195" s="440">
        <v>54</v>
      </c>
      <c r="AD195" s="440">
        <v>140980</v>
      </c>
      <c r="AE195" s="440">
        <v>2616</v>
      </c>
      <c r="AF195" s="441">
        <v>1.7372425754198919E-2</v>
      </c>
      <c r="AG195" s="441">
        <v>0.28534663341018679</v>
      </c>
    </row>
    <row r="196" spans="1:33" s="369" customFormat="1" x14ac:dyDescent="0.45">
      <c r="A196" s="424"/>
      <c r="C196" s="442"/>
      <c r="D196" s="426"/>
      <c r="E196" s="426"/>
      <c r="F196" s="427"/>
      <c r="G196" s="428"/>
      <c r="H196" s="427"/>
      <c r="I196" s="428"/>
      <c r="J196" s="427"/>
      <c r="K196" s="436"/>
      <c r="L196" s="431"/>
      <c r="M196" s="437"/>
      <c r="N196" s="431"/>
      <c r="O196" s="437"/>
      <c r="P196" s="431"/>
      <c r="Q196" s="437"/>
      <c r="R196" s="431"/>
      <c r="S196" s="438"/>
      <c r="T196" s="431"/>
      <c r="U196" s="438"/>
      <c r="V196" s="431"/>
      <c r="W196" s="438"/>
      <c r="X196" s="431"/>
      <c r="Y196" s="439"/>
      <c r="AA196" s="369" t="s">
        <v>523</v>
      </c>
      <c r="AB196" s="369" t="s">
        <v>478</v>
      </c>
      <c r="AC196" s="440">
        <v>141</v>
      </c>
      <c r="AD196" s="440">
        <v>366903</v>
      </c>
      <c r="AE196" s="440">
        <v>2604</v>
      </c>
      <c r="AF196" s="441">
        <v>1.7953291780127792E-2</v>
      </c>
      <c r="AG196" s="441">
        <v>0.29083945584404958</v>
      </c>
    </row>
    <row r="197" spans="1:33" s="369" customFormat="1" x14ac:dyDescent="0.45">
      <c r="A197" s="424" t="str">
        <f>MKT!$A$11</f>
        <v>Northwest</v>
      </c>
      <c r="C197" s="425" t="s">
        <v>214</v>
      </c>
      <c r="D197" s="426"/>
      <c r="E197" s="426"/>
      <c r="F197" s="435">
        <f>IF(F32="0","0",G32*1000000/F32)</f>
        <v>209.34496571613886</v>
      </c>
      <c r="G197" s="428"/>
      <c r="H197" s="435">
        <f>IF(H32="0","0",I32*1000000/H32)</f>
        <v>786.05375471878415</v>
      </c>
      <c r="I197" s="428"/>
      <c r="J197" s="435">
        <f>IF(J32="0","0",K32*1000000/J32)</f>
        <v>2138.3905328562237</v>
      </c>
      <c r="K197" s="436"/>
      <c r="L197" s="435">
        <f>IF(L32="0","0",M32*1000000/L32)</f>
        <v>7057.248835268455</v>
      </c>
      <c r="M197" s="437"/>
      <c r="N197" s="435">
        <f>IF(N32="0","0",O32*1000000/N32)</f>
        <v>15953.742273623886</v>
      </c>
      <c r="O197" s="437"/>
      <c r="P197" s="435">
        <f>IF(P32="0","0",Q32*1000000/P32)</f>
        <v>19456.193090867724</v>
      </c>
      <c r="Q197" s="437"/>
      <c r="R197" s="435">
        <f>IF(R32="0","0",S32*1000000/R32)</f>
        <v>23370.24330788611</v>
      </c>
      <c r="S197" s="438"/>
      <c r="T197" s="435">
        <f>IF(T32="0","0",U32*1000000/T32)</f>
        <v>25002.923161978535</v>
      </c>
      <c r="U197" s="438"/>
      <c r="V197" s="435">
        <f>IF(V32="0","0",W32*1000000/V32)</f>
        <v>26749.829099485698</v>
      </c>
      <c r="W197" s="438"/>
      <c r="X197" s="435">
        <f>IF(X32="0","0",Y32*1000000/X32)</f>
        <v>28618.955777625571</v>
      </c>
      <c r="Y197" s="439"/>
      <c r="AA197" s="369" t="s">
        <v>524</v>
      </c>
      <c r="AB197" s="369" t="s">
        <v>483</v>
      </c>
      <c r="AC197" s="440">
        <v>82</v>
      </c>
      <c r="AD197" s="440">
        <v>207913</v>
      </c>
      <c r="AE197" s="440">
        <v>2526</v>
      </c>
      <c r="AF197" s="441">
        <v>1.8291100390951671E-2</v>
      </c>
      <c r="AG197" s="441">
        <v>0.29395207468524653</v>
      </c>
    </row>
    <row r="198" spans="1:33" x14ac:dyDescent="0.45">
      <c r="A198" s="424" t="str">
        <f>MKT!$A$11</f>
        <v>Northwest</v>
      </c>
      <c r="C198" s="425" t="s">
        <v>211</v>
      </c>
      <c r="D198" s="426"/>
      <c r="E198" s="46"/>
      <c r="F198" s="427">
        <f>ROUNDUP((F197*$B$5/$B$7/$B$8),0)</f>
        <v>2</v>
      </c>
      <c r="G198" s="423"/>
      <c r="H198" s="427">
        <f>ROUNDUP((H197*$B$5/$B$7/$B$8),0)</f>
        <v>5</v>
      </c>
      <c r="I198" s="422"/>
      <c r="J198" s="427">
        <f>ROUNDUP((J197*$B$5/$B$7/$B$8),0)</f>
        <v>13</v>
      </c>
      <c r="K198" s="421"/>
      <c r="L198" s="431">
        <f>ROUNDUP((L197*$B$5/$B$7/$B$8),0)</f>
        <v>42</v>
      </c>
      <c r="M198" s="46"/>
      <c r="N198" s="431">
        <f>ROUNDUP((N197*$B$5/$B$7/$B$8),0)</f>
        <v>95</v>
      </c>
      <c r="O198" s="46"/>
      <c r="P198" s="431">
        <f>ROUNDUP((P197*$B$5/$B$7/$B$8),0)</f>
        <v>116</v>
      </c>
      <c r="Q198" s="46"/>
      <c r="R198" s="431">
        <f>ROUNDUP((R197*$B$5/$B$7/$B$8),0)</f>
        <v>139</v>
      </c>
      <c r="S198" s="46"/>
      <c r="T198" s="431">
        <f>ROUNDUP((T197*$B$5/$B$7/$B$8),0)</f>
        <v>148</v>
      </c>
      <c r="U198" s="46"/>
      <c r="V198" s="431">
        <f>ROUNDUP((V197*$B$5/$B$7/$B$8),0)</f>
        <v>159</v>
      </c>
      <c r="W198" s="46"/>
      <c r="X198" s="431">
        <f>ROUNDUP((X197*$B$5/$B$7/$B$8),0)</f>
        <v>170</v>
      </c>
      <c r="Y198" s="46"/>
      <c r="AA198" s="120" t="s">
        <v>525</v>
      </c>
      <c r="AB198" s="120" t="s">
        <v>486</v>
      </c>
      <c r="AC198" s="397">
        <v>45</v>
      </c>
      <c r="AD198" s="397">
        <v>112409</v>
      </c>
      <c r="AE198" s="397">
        <v>2500</v>
      </c>
      <c r="AF198" s="398">
        <v>1.8476483165184292E-2</v>
      </c>
      <c r="AG198" s="398">
        <v>0.29563492458554191</v>
      </c>
    </row>
    <row r="199" spans="1:33" x14ac:dyDescent="0.45">
      <c r="A199" s="424" t="str">
        <f>MKT!$A$11</f>
        <v>Northwest</v>
      </c>
      <c r="C199" s="425" t="s">
        <v>212</v>
      </c>
      <c r="D199" s="426"/>
      <c r="E199" s="46"/>
      <c r="F199" s="427">
        <f>IF(F32="",0,IF(F198&lt;($C$4+1),0,ROUNDUP((F198-$C$4)/$D$4,0)))</f>
        <v>0</v>
      </c>
      <c r="G199" s="422"/>
      <c r="H199" s="427">
        <f>IF(H32="",0,IF(H198&lt;($C$4+1),0,ROUNDUP((H198-$C$4)/$D$4,0)))</f>
        <v>0</v>
      </c>
      <c r="J199" s="427">
        <f>IF(J32="",0,IF(J198&lt;($C$4+1),0,ROUNDUP((J198-$C$4)/$D$4,0)))</f>
        <v>0</v>
      </c>
      <c r="L199" s="431">
        <f>IF(L32="",0,IF(L198&lt;($C$4+1),0,ROUNDUP((L198-$C$4)/$D$4,0)))</f>
        <v>2</v>
      </c>
      <c r="N199" s="431">
        <f>IF(N32="",0,IF(N198&lt;($C$4+1),0,ROUNDUP((N198-$C$4)/$D$4,0)))</f>
        <v>4</v>
      </c>
      <c r="P199" s="431">
        <f>IF(P32="",0,IF(P198&lt;($C$4+1),0,ROUNDUP((P198-$C$4)/$D$4,0)))</f>
        <v>5</v>
      </c>
      <c r="R199" s="431">
        <f>IF(R32="",0,IF(R198&lt;($C$4+1),0,ROUNDUP((R198-$C$4)/$D$4,0)))</f>
        <v>6</v>
      </c>
      <c r="T199" s="431">
        <f>IF(T32="",0,IF(T198&lt;($C$4+1),0,ROUNDUP((T198-$C$4)/$D$4,0)))</f>
        <v>6</v>
      </c>
      <c r="V199" s="431">
        <f>IF(V32="",0,IF(V198&lt;($C$4+1),0,ROUNDUP((V198-$C$4)/$D$4,0)))</f>
        <v>7</v>
      </c>
      <c r="X199" s="431">
        <f>IF(X32="",0,IF(X198&lt;($C$4+1),0,ROUNDUP((X198-$C$4)/$D$4,0)))</f>
        <v>7</v>
      </c>
      <c r="AA199" s="120" t="s">
        <v>526</v>
      </c>
      <c r="AB199" s="120" t="s">
        <v>499</v>
      </c>
      <c r="AC199" s="397">
        <v>60</v>
      </c>
      <c r="AD199" s="397">
        <v>149320</v>
      </c>
      <c r="AE199" s="397">
        <v>2496</v>
      </c>
      <c r="AF199" s="398">
        <v>1.8723660197494447E-2</v>
      </c>
      <c r="AG199" s="398">
        <v>0.29787036077937079</v>
      </c>
    </row>
    <row r="200" spans="1:33" x14ac:dyDescent="0.45">
      <c r="A200" s="424" t="str">
        <f>MKT!$A$11</f>
        <v>Northwest</v>
      </c>
      <c r="C200" s="425" t="s">
        <v>213</v>
      </c>
      <c r="D200" s="426"/>
      <c r="E200" s="419"/>
      <c r="F200" s="427">
        <f>IF(F199&gt;0,(F199-1)*F32,0)</f>
        <v>0</v>
      </c>
      <c r="G200" s="420"/>
      <c r="H200" s="427">
        <f>(H199-F199)*H32</f>
        <v>0</v>
      </c>
      <c r="J200" s="427">
        <f>(J199-H199)*J32</f>
        <v>0</v>
      </c>
      <c r="L200" s="431">
        <f>(L199-J199)*L32</f>
        <v>5228.8</v>
      </c>
      <c r="N200" s="431">
        <f>(N199-L199)*N32</f>
        <v>6536</v>
      </c>
      <c r="P200" s="431">
        <f>(P199-N199)*P32</f>
        <v>3921.6</v>
      </c>
      <c r="R200" s="431">
        <f>(R199-P199)*R32</f>
        <v>4575.2</v>
      </c>
      <c r="T200" s="431">
        <f>(T199-R199)*T32</f>
        <v>0</v>
      </c>
      <c r="V200" s="431">
        <f>(V199-T199)*V32</f>
        <v>5882.4000000000005</v>
      </c>
      <c r="X200" s="431">
        <f>(X199-V199)*X32</f>
        <v>0</v>
      </c>
      <c r="AA200" s="120" t="s">
        <v>527</v>
      </c>
      <c r="AB200" s="120" t="s">
        <v>486</v>
      </c>
      <c r="AC200" s="397">
        <v>47</v>
      </c>
      <c r="AD200" s="397">
        <v>116306</v>
      </c>
      <c r="AE200" s="397">
        <v>2496</v>
      </c>
      <c r="AF200" s="398">
        <v>1.8917282206137406E-2</v>
      </c>
      <c r="AG200" s="398">
        <v>0.29961155179168969</v>
      </c>
    </row>
    <row r="201" spans="1:33" x14ac:dyDescent="0.45">
      <c r="A201" s="424"/>
      <c r="D201" s="46"/>
      <c r="F201" s="427"/>
      <c r="H201" s="427"/>
      <c r="J201" s="427"/>
      <c r="L201" s="431"/>
      <c r="N201" s="431"/>
      <c r="P201" s="431"/>
      <c r="R201" s="431"/>
      <c r="T201" s="431"/>
      <c r="V201" s="431"/>
      <c r="X201" s="431"/>
      <c r="AA201" s="120" t="s">
        <v>528</v>
      </c>
      <c r="AB201" s="120" t="s">
        <v>529</v>
      </c>
      <c r="AC201" s="397">
        <v>138</v>
      </c>
      <c r="AD201" s="397">
        <v>343542</v>
      </c>
      <c r="AE201" s="397">
        <v>2495</v>
      </c>
      <c r="AF201" s="398">
        <v>1.9485789380450768E-2</v>
      </c>
      <c r="AG201" s="398">
        <v>0.30475464193969631</v>
      </c>
    </row>
    <row r="202" spans="1:33" x14ac:dyDescent="0.45">
      <c r="A202" s="120" t="str">
        <f>MKT!$A$12</f>
        <v>East of England</v>
      </c>
      <c r="C202" s="425" t="s">
        <v>214</v>
      </c>
      <c r="D202" s="46"/>
      <c r="F202" s="435">
        <f>IF(F33="0","0",G33*1000000/F33)</f>
        <v>175.15120181316672</v>
      </c>
      <c r="H202" s="435">
        <f>IF(H33="0","0",I33*1000000/H33)</f>
        <v>657.66214801378112</v>
      </c>
      <c r="J202" s="435">
        <f>IF(J33="0","0",K33*1000000/J33)</f>
        <v>1789.1123891821933</v>
      </c>
      <c r="L202" s="435">
        <f>IF(L33="0","0",M33*1000000/L33)</f>
        <v>5904.5394799123578</v>
      </c>
      <c r="M202" s="397"/>
      <c r="N202" s="435">
        <f>IF(N33="0","0",O33*1000000/N33)</f>
        <v>13347.906996873757</v>
      </c>
      <c r="P202" s="435">
        <f>IF(P33="0","0",Q33*1000000/P33)</f>
        <v>16278.278251960854</v>
      </c>
      <c r="R202" s="435">
        <f>IF(R33="0","0",S33*1000000/R33)</f>
        <v>19553.019524685929</v>
      </c>
      <c r="T202" s="435">
        <f>IF(T33="0","0",U33*1000000/T33)</f>
        <v>20919.022464580787</v>
      </c>
      <c r="V202" s="435">
        <f>IF(V33="0","0",W33*1000000/V33)</f>
        <v>22380.594150158457</v>
      </c>
      <c r="X202" s="435">
        <f>IF(X33="0","0",Y33*1000000/X33)</f>
        <v>23944.423415874648</v>
      </c>
      <c r="AA202" s="120" t="s">
        <v>530</v>
      </c>
      <c r="AB202" s="120" t="s">
        <v>486</v>
      </c>
      <c r="AC202" s="397">
        <v>31</v>
      </c>
      <c r="AD202" s="397">
        <v>76696</v>
      </c>
      <c r="AE202" s="397">
        <v>2486</v>
      </c>
      <c r="AF202" s="398">
        <v>1.9613497513811015E-2</v>
      </c>
      <c r="AG202" s="398">
        <v>0.30590284053547651</v>
      </c>
    </row>
    <row r="203" spans="1:33" x14ac:dyDescent="0.45">
      <c r="A203" s="120" t="str">
        <f>MKT!$A$12</f>
        <v>East of England</v>
      </c>
      <c r="C203" s="425" t="s">
        <v>211</v>
      </c>
      <c r="D203" s="418"/>
      <c r="F203" s="427">
        <f>ROUNDUP((F202*$B$5/$B$7/$B$8),0)</f>
        <v>2</v>
      </c>
      <c r="G203" s="422"/>
      <c r="H203" s="427">
        <f>ROUNDUP((H202*$B$5/$B$7/$B$8),0)</f>
        <v>4</v>
      </c>
      <c r="I203" s="422"/>
      <c r="J203" s="427">
        <f>ROUNDUP((J202*$B$5/$B$7/$B$8),0)</f>
        <v>11</v>
      </c>
      <c r="K203" s="421"/>
      <c r="L203" s="431">
        <f>ROUNDUP((L202*$B$5/$B$7/$B$8),0)</f>
        <v>35</v>
      </c>
      <c r="M203" s="443"/>
      <c r="N203" s="431">
        <f>ROUNDUP((N202*$B$5/$B$7/$B$8),0)</f>
        <v>79</v>
      </c>
      <c r="O203" s="46"/>
      <c r="P203" s="431">
        <f>ROUNDUP((P202*$B$5/$B$7/$B$8),0)</f>
        <v>97</v>
      </c>
      <c r="Q203" s="46"/>
      <c r="R203" s="431">
        <f>ROUNDUP((R202*$B$5/$B$7/$B$8),0)</f>
        <v>116</v>
      </c>
      <c r="S203" s="46"/>
      <c r="T203" s="431">
        <f>ROUNDUP((T202*$B$5/$B$7/$B$8),0)</f>
        <v>124</v>
      </c>
      <c r="U203" s="46"/>
      <c r="V203" s="431">
        <f>ROUNDUP((V202*$B$5/$B$7/$B$8),0)</f>
        <v>133</v>
      </c>
      <c r="W203" s="46"/>
      <c r="X203" s="431">
        <f>ROUNDUP((X202*$B$5/$B$7/$B$8),0)</f>
        <v>142</v>
      </c>
      <c r="Y203" s="46"/>
      <c r="AA203" s="120" t="s">
        <v>531</v>
      </c>
      <c r="AB203" s="120" t="s">
        <v>478</v>
      </c>
      <c r="AC203" s="397">
        <v>162</v>
      </c>
      <c r="AD203" s="397">
        <v>395331</v>
      </c>
      <c r="AE203" s="397">
        <v>2439</v>
      </c>
      <c r="AF203" s="398">
        <v>2.0280875501048443E-2</v>
      </c>
      <c r="AG203" s="398">
        <v>0.31182125217452383</v>
      </c>
    </row>
    <row r="204" spans="1:33" x14ac:dyDescent="0.45">
      <c r="A204" s="120" t="str">
        <f>MKT!$A$12</f>
        <v>East of England</v>
      </c>
      <c r="C204" s="425" t="s">
        <v>212</v>
      </c>
      <c r="F204" s="427">
        <f>IF(F33="",0,IF(F203&lt;($C$4+1),0,ROUNDUP((F203-$C$4)/$D$4,0)))</f>
        <v>0</v>
      </c>
      <c r="H204" s="427">
        <f>IF(H33="",0,IF(H203&lt;($C$4+1),0,ROUNDUP((H203-$C$4)/$D$4,0)))</f>
        <v>0</v>
      </c>
      <c r="J204" s="427">
        <f>IF(J33="",0,IF(J203&lt;($C$4+1),0,ROUNDUP((J203-$C$4)/$D$4,0)))</f>
        <v>0</v>
      </c>
      <c r="L204" s="431">
        <f>IF(L33="",0,IF(L203&lt;($C$4+1),0,ROUNDUP((L203-$C$4)/$D$4,0)))</f>
        <v>1</v>
      </c>
      <c r="M204" s="397"/>
      <c r="N204" s="431">
        <f>IF(N33="",0,IF(N203&lt;($C$4+1),0,ROUNDUP((N203-$C$4)/$D$4,0)))</f>
        <v>3</v>
      </c>
      <c r="P204" s="431">
        <f>IF(P33="",0,IF(P203&lt;($C$4+1),0,ROUNDUP((P203-$C$4)/$D$4,0)))</f>
        <v>4</v>
      </c>
      <c r="R204" s="431">
        <f>IF(R33="",0,IF(R203&lt;($C$4+1),0,ROUNDUP((R203-$C$4)/$D$4,0)))</f>
        <v>5</v>
      </c>
      <c r="T204" s="431">
        <f>IF(T33="",0,IF(T203&lt;($C$4+1),0,ROUNDUP((T203-$C$4)/$D$4,0)))</f>
        <v>5</v>
      </c>
      <c r="V204" s="431">
        <f>IF(V33="",0,IF(V203&lt;($C$4+1),0,ROUNDUP((V203-$C$4)/$D$4,0)))</f>
        <v>6</v>
      </c>
      <c r="X204" s="431">
        <f>IF(X33="",0,IF(X203&lt;($C$4+1),0,ROUNDUP((X203-$C$4)/$D$4,0)))</f>
        <v>6</v>
      </c>
      <c r="AA204" s="120" t="s">
        <v>532</v>
      </c>
      <c r="AB204" s="120" t="s">
        <v>486</v>
      </c>
      <c r="AC204" s="397">
        <v>24</v>
      </c>
      <c r="AD204" s="397">
        <v>57015</v>
      </c>
      <c r="AE204" s="397">
        <v>2423</v>
      </c>
      <c r="AF204" s="398">
        <v>2.0379746313972505E-2</v>
      </c>
      <c r="AG204" s="398">
        <v>0.31267481093819349</v>
      </c>
    </row>
    <row r="205" spans="1:33" x14ac:dyDescent="0.45">
      <c r="A205" s="120" t="str">
        <f>MKT!$A$12</f>
        <v>East of England</v>
      </c>
      <c r="C205" s="425" t="s">
        <v>213</v>
      </c>
      <c r="F205" s="427">
        <f>IF(F204&gt;0,(F204-1)*F33,0)</f>
        <v>0</v>
      </c>
      <c r="H205" s="427">
        <f>(H204-F204)*H33</f>
        <v>0</v>
      </c>
      <c r="J205" s="427">
        <f>(J204-H204)*J33</f>
        <v>0</v>
      </c>
      <c r="L205" s="431">
        <f>(L204-J204)*L33</f>
        <v>2808.8</v>
      </c>
      <c r="N205" s="431">
        <f>(N204-L204)*N33</f>
        <v>7022</v>
      </c>
      <c r="P205" s="431">
        <f>(P204-N204)*P33</f>
        <v>4213.2</v>
      </c>
      <c r="R205" s="431">
        <f>(R204-P204)*R33</f>
        <v>4915.3999999999996</v>
      </c>
      <c r="T205" s="431">
        <f>(T204-R204)*T33</f>
        <v>0</v>
      </c>
      <c r="V205" s="431">
        <f>(V204-T204)*V33</f>
        <v>6319.8</v>
      </c>
      <c r="X205" s="431">
        <f>(X204-V204)*X33</f>
        <v>0</v>
      </c>
      <c r="AA205" s="120" t="s">
        <v>533</v>
      </c>
      <c r="AB205" s="120" t="s">
        <v>486</v>
      </c>
      <c r="AC205" s="397">
        <v>39</v>
      </c>
      <c r="AD205" s="397">
        <v>94599</v>
      </c>
      <c r="AE205" s="397">
        <v>2423</v>
      </c>
      <c r="AF205" s="398">
        <v>2.054041138497411E-2</v>
      </c>
      <c r="AG205" s="398">
        <v>0.31409103132729083</v>
      </c>
    </row>
    <row r="206" spans="1:33" x14ac:dyDescent="0.45">
      <c r="C206" s="46"/>
      <c r="F206" s="427"/>
      <c r="H206" s="427"/>
      <c r="J206" s="427"/>
      <c r="L206" s="431"/>
      <c r="N206" s="431"/>
      <c r="P206" s="431"/>
      <c r="Q206" s="444"/>
      <c r="R206" s="431"/>
      <c r="S206" s="444"/>
      <c r="T206" s="431"/>
      <c r="U206" s="444"/>
      <c r="V206" s="431"/>
      <c r="W206" s="444"/>
      <c r="X206" s="431"/>
      <c r="AA206" s="120" t="s">
        <v>534</v>
      </c>
      <c r="AB206" s="120" t="s">
        <v>486</v>
      </c>
      <c r="AC206" s="397">
        <v>34</v>
      </c>
      <c r="AD206" s="397">
        <v>80627</v>
      </c>
      <c r="AE206" s="397">
        <v>2366</v>
      </c>
      <c r="AF206" s="398">
        <v>2.0680478369949865E-2</v>
      </c>
      <c r="AG206" s="398">
        <v>0.31529808004146065</v>
      </c>
    </row>
    <row r="207" spans="1:33" x14ac:dyDescent="0.45">
      <c r="A207" s="46" t="str">
        <f>MKT!$A$13</f>
        <v>West Midlands</v>
      </c>
      <c r="C207" s="425" t="s">
        <v>214</v>
      </c>
      <c r="F207" s="435">
        <f>IF(F34="0","0",G34*1000000/F34)</f>
        <v>175.07052966497156</v>
      </c>
      <c r="H207" s="435">
        <f>IF(H34="0","0",I34*1000000/H34)</f>
        <v>657.35923819804646</v>
      </c>
      <c r="J207" s="435">
        <f>IF(J34="0","0",K34*1000000/J34)</f>
        <v>1788.2883495050241</v>
      </c>
      <c r="L207" s="435">
        <f>IF(L34="0","0",M34*1000000/L34)</f>
        <v>5901.8199331492378</v>
      </c>
      <c r="N207" s="435">
        <f>IF(N34="0","0",O34*1000000/N34)</f>
        <v>13341.759141077164</v>
      </c>
      <c r="P207" s="435">
        <f>IF(P34="0","0",Q34*1000000/P34)</f>
        <v>16270.780708912847</v>
      </c>
      <c r="R207" s="435">
        <f>IF(R34="0","0",S34*1000000/R34)</f>
        <v>19544.013682462588</v>
      </c>
      <c r="T207" s="435">
        <f>IF(T34="0","0",U34*1000000/T34)</f>
        <v>20909.387460864618</v>
      </c>
      <c r="V207" s="435">
        <f>IF(V34="0","0",W34*1000000/V34)</f>
        <v>22370.285967346765</v>
      </c>
      <c r="X207" s="435">
        <f>IF(X34="0","0",Y34*1000000/X34)</f>
        <v>23933.394955582869</v>
      </c>
      <c r="AA207" s="120" t="s">
        <v>535</v>
      </c>
      <c r="AB207" s="120" t="s">
        <v>486</v>
      </c>
      <c r="AC207" s="397">
        <v>44</v>
      </c>
      <c r="AD207" s="397">
        <v>103745</v>
      </c>
      <c r="AE207" s="397">
        <v>2349</v>
      </c>
      <c r="AF207" s="398">
        <v>2.0861741526977312E-2</v>
      </c>
      <c r="AG207" s="398">
        <v>0.31685122314304637</v>
      </c>
    </row>
    <row r="208" spans="1:33" x14ac:dyDescent="0.45">
      <c r="A208" s="46" t="str">
        <f>MKT!$A$13</f>
        <v>West Midlands</v>
      </c>
      <c r="C208" s="425" t="s">
        <v>211</v>
      </c>
      <c r="D208" s="421"/>
      <c r="F208" s="427">
        <f>ROUNDUP((F207*$B$5/$B$7/$B$8),0)</f>
        <v>2</v>
      </c>
      <c r="G208" s="422"/>
      <c r="H208" s="427">
        <f>ROUNDUP((H207*$B$5/$B$7/$B$8),0)</f>
        <v>4</v>
      </c>
      <c r="I208" s="422"/>
      <c r="J208" s="427">
        <f>ROUNDUP((J207*$B$5/$B$7/$B$8),0)</f>
        <v>11</v>
      </c>
      <c r="K208" s="421"/>
      <c r="L208" s="431">
        <f>ROUNDUP((L207*$B$5/$B$7/$B$8),0)</f>
        <v>35</v>
      </c>
      <c r="M208" s="46"/>
      <c r="N208" s="431">
        <f>ROUNDUP((N207*$B$5/$B$7/$B$8),0)</f>
        <v>79</v>
      </c>
      <c r="O208" s="46"/>
      <c r="P208" s="431">
        <f>ROUNDUP((P207*$B$5/$B$7/$B$8),0)</f>
        <v>97</v>
      </c>
      <c r="Q208" s="445"/>
      <c r="R208" s="431">
        <f>ROUNDUP((R207*$B$5/$B$7/$B$8),0)</f>
        <v>116</v>
      </c>
      <c r="S208" s="445"/>
      <c r="T208" s="431">
        <f>ROUNDUP((T207*$B$5/$B$7/$B$8),0)</f>
        <v>124</v>
      </c>
      <c r="U208" s="445"/>
      <c r="V208" s="431">
        <f>ROUNDUP((V207*$B$5/$B$7/$B$8),0)</f>
        <v>133</v>
      </c>
      <c r="W208" s="445"/>
      <c r="X208" s="431">
        <f>ROUNDUP((X207*$B$5/$B$7/$B$8),0)</f>
        <v>142</v>
      </c>
      <c r="Y208" s="46"/>
      <c r="AA208" s="120" t="s">
        <v>536</v>
      </c>
      <c r="AB208" s="120" t="s">
        <v>483</v>
      </c>
      <c r="AC208" s="397">
        <v>64</v>
      </c>
      <c r="AD208" s="397">
        <v>150976</v>
      </c>
      <c r="AE208" s="397">
        <v>2343</v>
      </c>
      <c r="AF208" s="398">
        <v>2.1125397028108148E-2</v>
      </c>
      <c r="AG208" s="398">
        <v>0.31911145094106069</v>
      </c>
    </row>
    <row r="209" spans="1:33" x14ac:dyDescent="0.45">
      <c r="A209" s="46" t="str">
        <f>MKT!$A$13</f>
        <v>West Midlands</v>
      </c>
      <c r="C209" s="425" t="s">
        <v>212</v>
      </c>
      <c r="D209" s="46"/>
      <c r="F209" s="427">
        <f>IF(F34="",0,IF(F208&lt;($C$4+1),0,ROUNDUP((F208-$C$4)/$D$4,0)))</f>
        <v>0</v>
      </c>
      <c r="H209" s="427">
        <f>IF(H34="",0,IF(H208&lt;($C$4+1),0,ROUNDUP((H208-$C$4)/$D$4,0)))</f>
        <v>0</v>
      </c>
      <c r="J209" s="427">
        <f>IF(J34="",0,IF(J208&lt;($C$4+1),0,ROUNDUP((J208-$C$4)/$D$4,0)))</f>
        <v>0</v>
      </c>
      <c r="L209" s="431">
        <f>IF(L34="",0,IF(L208&lt;($C$4+1),0,ROUNDUP((L208-$C$4)/$D$4,0)))</f>
        <v>1</v>
      </c>
      <c r="N209" s="431">
        <f>IF(N34="",0,IF(N208&lt;($C$4+1),0,ROUNDUP((N208-$C$4)/$D$4,0)))</f>
        <v>3</v>
      </c>
      <c r="P209" s="431">
        <f>IF(P34="",0,IF(P208&lt;($C$4+1),0,ROUNDUP((P208-$C$4)/$D$4,0)))</f>
        <v>4</v>
      </c>
      <c r="Q209" s="446"/>
      <c r="R209" s="431">
        <f>IF(R34="",0,IF(R208&lt;($C$4+1),0,ROUNDUP((R208-$C$4)/$D$4,0)))</f>
        <v>5</v>
      </c>
      <c r="S209" s="446"/>
      <c r="T209" s="431">
        <f>IF(T34="",0,IF(T208&lt;($C$4+1),0,ROUNDUP((T208-$C$4)/$D$4,0)))</f>
        <v>5</v>
      </c>
      <c r="U209" s="446"/>
      <c r="V209" s="431">
        <f>IF(V34="",0,IF(V208&lt;($C$4+1),0,ROUNDUP((V208-$C$4)/$D$4,0)))</f>
        <v>6</v>
      </c>
      <c r="W209" s="446"/>
      <c r="X209" s="431">
        <f>IF(X34="",0,IF(X208&lt;($C$4+1),0,ROUNDUP((X208-$C$4)/$D$4,0)))</f>
        <v>6</v>
      </c>
      <c r="AA209" s="120" t="s">
        <v>537</v>
      </c>
      <c r="AB209" s="120" t="s">
        <v>483</v>
      </c>
      <c r="AC209" s="397">
        <v>126</v>
      </c>
      <c r="AD209" s="397">
        <v>293423</v>
      </c>
      <c r="AE209" s="397">
        <v>2328</v>
      </c>
      <c r="AF209" s="398">
        <v>2.1644468795959479E-2</v>
      </c>
      <c r="AG209" s="398">
        <v>0.32350422079306873</v>
      </c>
    </row>
    <row r="210" spans="1:33" x14ac:dyDescent="0.45">
      <c r="A210" s="46" t="str">
        <f>MKT!$A$13</f>
        <v>West Midlands</v>
      </c>
      <c r="C210" s="425" t="s">
        <v>213</v>
      </c>
      <c r="D210" s="46"/>
      <c r="F210" s="427">
        <f>IF(F209&gt;0,(F209-1)*F34,0)</f>
        <v>0</v>
      </c>
      <c r="H210" s="427">
        <f>(H209-F209)*H34</f>
        <v>0</v>
      </c>
      <c r="J210" s="427">
        <f>(J209-H209)*J34</f>
        <v>0</v>
      </c>
      <c r="L210" s="431">
        <f>(L209-J209)*L34</f>
        <v>2408.8000000000002</v>
      </c>
      <c r="N210" s="431">
        <f>(N209-L209)*N34</f>
        <v>6022</v>
      </c>
      <c r="P210" s="431">
        <f>(P209-N209)*P34</f>
        <v>3613.2</v>
      </c>
      <c r="R210" s="431">
        <f>(R209-P209)*R34</f>
        <v>4215.3999999999996</v>
      </c>
      <c r="T210" s="431">
        <f>(T209-R209)*T34</f>
        <v>0</v>
      </c>
      <c r="V210" s="431">
        <f>(V209-T209)*V34</f>
        <v>5419.8</v>
      </c>
      <c r="X210" s="431">
        <f>(X209-V209)*X34</f>
        <v>0</v>
      </c>
      <c r="AA210" s="120" t="s">
        <v>94</v>
      </c>
      <c r="AB210" s="120" t="s">
        <v>476</v>
      </c>
      <c r="AC210" s="397">
        <v>112</v>
      </c>
      <c r="AD210" s="397">
        <v>259552</v>
      </c>
      <c r="AE210" s="397">
        <v>2310</v>
      </c>
      <c r="AF210" s="398">
        <v>2.210586592293844E-2</v>
      </c>
      <c r="AG210" s="398">
        <v>0.32738991550898533</v>
      </c>
    </row>
    <row r="211" spans="1:33" x14ac:dyDescent="0.45">
      <c r="A211" s="46"/>
      <c r="C211" s="426"/>
      <c r="D211" s="46"/>
      <c r="F211" s="427"/>
      <c r="H211" s="427"/>
      <c r="J211" s="427"/>
      <c r="L211" s="431"/>
      <c r="N211" s="431"/>
      <c r="P211" s="431"/>
      <c r="Q211" s="447"/>
      <c r="R211" s="431"/>
      <c r="S211" s="447"/>
      <c r="T211" s="431"/>
      <c r="U211" s="447"/>
      <c r="V211" s="431"/>
      <c r="W211" s="447"/>
      <c r="X211" s="431"/>
      <c r="AA211" s="120" t="s">
        <v>538</v>
      </c>
      <c r="AB211" s="120" t="s">
        <v>486</v>
      </c>
      <c r="AC211" s="397">
        <v>56</v>
      </c>
      <c r="AD211" s="397">
        <v>126220</v>
      </c>
      <c r="AE211" s="397">
        <v>2264</v>
      </c>
      <c r="AF211" s="398">
        <v>2.2336564486427922E-2</v>
      </c>
      <c r="AG211" s="398">
        <v>0.32927952678935685</v>
      </c>
    </row>
    <row r="212" spans="1:33" x14ac:dyDescent="0.45">
      <c r="A212" s="120" t="str">
        <f>MKT!$A$14</f>
        <v>Southwest</v>
      </c>
      <c r="C212" s="425" t="s">
        <v>214</v>
      </c>
      <c r="D212" s="46"/>
      <c r="F212" s="435">
        <f>IF(F35="0","0",(G35*1000000/F35))</f>
        <v>296.84230604016017</v>
      </c>
      <c r="H212" s="435">
        <f>IF(H35="0","0",(I35*1000000/H35))</f>
        <v>1114.5909739173735</v>
      </c>
      <c r="J212" s="435">
        <f>IF(J35="0","0",(K35*1000000/J35))</f>
        <v>3032.1473211263992</v>
      </c>
      <c r="L212" s="435">
        <f>IF(L35="0","0",(M35*1000000/L35))</f>
        <v>10006.880324988982</v>
      </c>
      <c r="N212" s="435">
        <f>IF(N35="0","0",(O35*1000000/N35))</f>
        <v>22621.731696640523</v>
      </c>
      <c r="P212" s="435">
        <f>IF(P35="0","0",(Q35*1000000/P35))</f>
        <v>27588.058800931409</v>
      </c>
      <c r="Q212" s="434"/>
      <c r="R212" s="435">
        <f>IF(R35="0","0",(S35*1000000/R35))</f>
        <v>33138.016443343236</v>
      </c>
      <c r="S212" s="434"/>
      <c r="T212" s="435">
        <f>IF(T35="0","0",(U35*1000000/T35))</f>
        <v>35453.087413672976</v>
      </c>
      <c r="U212" s="434"/>
      <c r="V212" s="435">
        <f>IF(V35="0","0",(W35*1000000/V35))</f>
        <v>37930.126138492415</v>
      </c>
      <c r="W212" s="434"/>
      <c r="X212" s="435">
        <f>IF(X35="0","0",(Y35*1000000/X35))</f>
        <v>40580.468703560604</v>
      </c>
      <c r="AA212" s="120" t="s">
        <v>539</v>
      </c>
      <c r="AB212" s="120" t="s">
        <v>483</v>
      </c>
      <c r="AC212" s="397">
        <v>106</v>
      </c>
      <c r="AD212" s="397">
        <v>237354</v>
      </c>
      <c r="AE212" s="397">
        <v>2238</v>
      </c>
      <c r="AF212" s="398">
        <v>2.2773243910175867E-2</v>
      </c>
      <c r="AG212" s="398">
        <v>0.33283290023129397</v>
      </c>
    </row>
    <row r="213" spans="1:33" x14ac:dyDescent="0.45">
      <c r="A213" s="120" t="str">
        <f>MKT!$A$14</f>
        <v>Southwest</v>
      </c>
      <c r="C213" s="425" t="s">
        <v>211</v>
      </c>
      <c r="D213" s="46"/>
      <c r="F213" s="427">
        <f>ROUNDUP((F212*$B$5/$B$7/$B$8),0)</f>
        <v>2</v>
      </c>
      <c r="G213" s="422"/>
      <c r="H213" s="427">
        <f>ROUNDUP((H212*$B$5/$B$7/$B$8),0)</f>
        <v>7</v>
      </c>
      <c r="I213" s="422"/>
      <c r="J213" s="427">
        <f>ROUNDUP((J212*$B$5/$B$7/$B$8),0)</f>
        <v>18</v>
      </c>
      <c r="K213" s="421"/>
      <c r="L213" s="431">
        <f>ROUNDUP((L212*$B$5/$B$7/$B$8),0)</f>
        <v>60</v>
      </c>
      <c r="M213" s="46"/>
      <c r="N213" s="431">
        <f>ROUNDUP((N212*$B$5/$B$7/$B$8),0)</f>
        <v>134</v>
      </c>
      <c r="O213" s="46"/>
      <c r="P213" s="431">
        <f>ROUNDUP((P212*$B$5/$B$7/$B$8),0)</f>
        <v>164</v>
      </c>
      <c r="Q213" s="46"/>
      <c r="R213" s="431">
        <f>ROUNDUP((R212*$B$5/$B$7/$B$8),0)</f>
        <v>197</v>
      </c>
      <c r="S213" s="46"/>
      <c r="T213" s="431">
        <f>ROUNDUP((T212*$B$5/$B$7/$B$8),0)</f>
        <v>210</v>
      </c>
      <c r="U213" s="46"/>
      <c r="V213" s="431">
        <f>ROUNDUP((V212*$B$5/$B$7/$B$8),0)</f>
        <v>225</v>
      </c>
      <c r="W213" s="46"/>
      <c r="X213" s="431">
        <f>ROUNDUP((X212*$B$5/$B$7/$B$8),0)</f>
        <v>241</v>
      </c>
      <c r="AA213" s="120" t="s">
        <v>540</v>
      </c>
      <c r="AB213" s="120" t="s">
        <v>486</v>
      </c>
      <c r="AC213" s="397">
        <v>45</v>
      </c>
      <c r="AD213" s="397">
        <v>99844</v>
      </c>
      <c r="AE213" s="397">
        <v>2224</v>
      </c>
      <c r="AF213" s="398">
        <v>2.2958626684408484E-2</v>
      </c>
      <c r="AG213" s="398">
        <v>0.33432764233775425</v>
      </c>
    </row>
    <row r="214" spans="1:33" x14ac:dyDescent="0.45">
      <c r="A214" s="120" t="str">
        <f>MKT!$A$14</f>
        <v>Southwest</v>
      </c>
      <c r="C214" s="425" t="s">
        <v>212</v>
      </c>
      <c r="D214" s="46"/>
      <c r="F214" s="427">
        <f>IF(F35="",0,IF(F213&lt;($C$4+1),0,ROUNDUP((F213-$C$4)/$D$4,0)))</f>
        <v>0</v>
      </c>
      <c r="H214" s="427">
        <f>IF(H35="",0,IF(H213&lt;($C$4+1),0,ROUNDUP((H213-$C$4)/$D$4,0)))</f>
        <v>0</v>
      </c>
      <c r="J214" s="427">
        <f>IF(J35="",0,IF(J213&lt;($C$4+1),0,ROUNDUP((J213-$C$4)/$D$4,0)))</f>
        <v>1</v>
      </c>
      <c r="K214" s="448"/>
      <c r="L214" s="431">
        <f>IF(L35="",0,IF(L213&lt;($C$4+1),0,ROUNDUP((L213-$C$4)/$D$4,0)))</f>
        <v>2</v>
      </c>
      <c r="M214" s="424"/>
      <c r="N214" s="431">
        <f>IF(N35="",0,IF(N213&lt;($C$4+1),0,ROUNDUP((N213-$C$4)/$D$4,0)))</f>
        <v>6</v>
      </c>
      <c r="O214" s="424"/>
      <c r="P214" s="431">
        <f>IF(P35="",0,IF(P213&lt;($C$4+1),0,ROUNDUP((P213-$C$4)/$D$4,0)))</f>
        <v>7</v>
      </c>
      <c r="Q214" s="424"/>
      <c r="R214" s="431">
        <f>IF(R35="",0,IF(R213&lt;($C$4+1),0,ROUNDUP((R213-$C$4)/$D$4,0)))</f>
        <v>9</v>
      </c>
      <c r="T214" s="431">
        <f>IF(T35="",0,IF(T213&lt;($C$4+1),0,ROUNDUP((T213-$C$4)/$D$4,0)))</f>
        <v>9</v>
      </c>
      <c r="V214" s="431">
        <f>IF(V35="",0,IF(V213&lt;($C$4+1),0,ROUNDUP((V213-$C$4)/$D$4,0)))</f>
        <v>10</v>
      </c>
      <c r="X214" s="431">
        <f>IF(X35="",0,IF(X213&lt;($C$4+1),0,ROUNDUP((X213-$C$4)/$D$4,0)))</f>
        <v>11</v>
      </c>
      <c r="AA214" s="120" t="s">
        <v>86</v>
      </c>
      <c r="AB214" s="120" t="s">
        <v>476</v>
      </c>
      <c r="AC214" s="397">
        <v>150</v>
      </c>
      <c r="AD214" s="397">
        <v>332336</v>
      </c>
      <c r="AE214" s="397">
        <v>2214</v>
      </c>
      <c r="AF214" s="398">
        <v>2.357656926518388E-2</v>
      </c>
      <c r="AG214" s="398">
        <v>0.3393029699757954</v>
      </c>
    </row>
    <row r="215" spans="1:33" x14ac:dyDescent="0.45">
      <c r="A215" s="120" t="str">
        <f>MKT!$A$14</f>
        <v>Southwest</v>
      </c>
      <c r="C215" s="425" t="s">
        <v>213</v>
      </c>
      <c r="D215" s="46"/>
      <c r="F215" s="427">
        <f>IF(F214&gt;0,(F214-1)*F35,0)</f>
        <v>0</v>
      </c>
      <c r="H215" s="427">
        <f>(H214-F214)*H35</f>
        <v>0</v>
      </c>
      <c r="J215" s="427">
        <f>(J214-H214)*J35</f>
        <v>1053.8999999999999</v>
      </c>
      <c r="K215" s="449"/>
      <c r="L215" s="431">
        <f>(L214-J214)*L35</f>
        <v>1405.2</v>
      </c>
      <c r="M215" s="450"/>
      <c r="N215" s="431">
        <f>(N214-L214)*N35</f>
        <v>7026</v>
      </c>
      <c r="O215" s="450"/>
      <c r="P215" s="431">
        <f>(P214-N214)*P35</f>
        <v>2107.7999999999997</v>
      </c>
      <c r="Q215" s="450"/>
      <c r="R215" s="431">
        <f>(R214-P214)*R35</f>
        <v>4918.2</v>
      </c>
      <c r="T215" s="431">
        <f>(T214-R214)*T35</f>
        <v>0</v>
      </c>
      <c r="V215" s="431">
        <f>(V214-T214)*V35</f>
        <v>3161.7000000000003</v>
      </c>
      <c r="X215" s="431">
        <f>(X214-V214)*X35</f>
        <v>3513</v>
      </c>
      <c r="AA215" s="120" t="s">
        <v>541</v>
      </c>
      <c r="AB215" s="120" t="s">
        <v>483</v>
      </c>
      <c r="AC215" s="397">
        <v>103</v>
      </c>
      <c r="AD215" s="397">
        <v>226493</v>
      </c>
      <c r="AE215" s="397">
        <v>2196</v>
      </c>
      <c r="AF215" s="398">
        <v>2.4000889837316318E-2</v>
      </c>
      <c r="AG215" s="398">
        <v>0.34269374582530571</v>
      </c>
    </row>
    <row r="216" spans="1:33" x14ac:dyDescent="0.45">
      <c r="C216" s="442"/>
      <c r="F216" s="427"/>
      <c r="H216" s="427"/>
      <c r="J216" s="427"/>
      <c r="K216" s="449"/>
      <c r="L216" s="431"/>
      <c r="M216" s="450"/>
      <c r="N216" s="431"/>
      <c r="O216" s="450"/>
      <c r="P216" s="431"/>
      <c r="Q216" s="450"/>
      <c r="R216" s="431"/>
      <c r="T216" s="431"/>
      <c r="V216" s="431"/>
      <c r="X216" s="431"/>
      <c r="AA216" s="120" t="s">
        <v>542</v>
      </c>
      <c r="AB216" s="120" t="s">
        <v>478</v>
      </c>
      <c r="AC216" s="397">
        <v>63</v>
      </c>
      <c r="AD216" s="397">
        <v>136264</v>
      </c>
      <c r="AE216" s="397">
        <v>2167</v>
      </c>
      <c r="AF216" s="398">
        <v>2.4260425721241981E-2</v>
      </c>
      <c r="AG216" s="398">
        <v>0.34473372357454152</v>
      </c>
    </row>
    <row r="217" spans="1:33" x14ac:dyDescent="0.45">
      <c r="A217" s="369" t="str">
        <f>MKT!$A$15</f>
        <v>Yorkshire/Humber</v>
      </c>
      <c r="C217" s="425" t="s">
        <v>214</v>
      </c>
      <c r="D217" s="424"/>
      <c r="E217" s="369"/>
      <c r="F217" s="435">
        <f>IF(F36="0","0",(G36*1000000/F36))</f>
        <v>165.15607786802076</v>
      </c>
      <c r="G217" s="451"/>
      <c r="H217" s="435">
        <f>IF(H36="0","0",(I36*1000000/H36))</f>
        <v>620.13220465409734</v>
      </c>
      <c r="I217" s="452"/>
      <c r="J217" s="435">
        <f>IF(J36="0","0",(K36*1000000/J36))</f>
        <v>1687.0154586641406</v>
      </c>
      <c r="K217" s="453"/>
      <c r="L217" s="435">
        <f>IF(L36="0","0",(M36*1000000/L36))</f>
        <v>5567.59286847155</v>
      </c>
      <c r="M217" s="454"/>
      <c r="N217" s="435">
        <f>IF(N36="0","0",(O36*1000000/N36))</f>
        <v>12586.199492380883</v>
      </c>
      <c r="O217" s="454"/>
      <c r="P217" s="435">
        <f>IF(P36="0","0",(Q36*1000000/P36))</f>
        <v>15349.347093866498</v>
      </c>
      <c r="Q217" s="454"/>
      <c r="R217" s="435">
        <f>IF(R36="0","0",(S36*1000000/R36))</f>
        <v>18437.213000791424</v>
      </c>
      <c r="T217" s="435">
        <f>IF(T36="0","0",(U36*1000000/T36))</f>
        <v>19725.264042255989</v>
      </c>
      <c r="V217" s="435">
        <f>IF(V36="0","0",(W36*1000000/V36))</f>
        <v>21103.430133119851</v>
      </c>
      <c r="X217" s="435">
        <f>IF(X36="0","0",(Y36*1000000/X36))</f>
        <v>22578.018404894399</v>
      </c>
      <c r="AA217" s="120" t="s">
        <v>543</v>
      </c>
      <c r="AB217" s="120" t="s">
        <v>483</v>
      </c>
      <c r="AC217" s="397">
        <v>140</v>
      </c>
      <c r="AD217" s="397">
        <v>287550</v>
      </c>
      <c r="AE217" s="397">
        <v>2057</v>
      </c>
      <c r="AF217" s="398">
        <v>2.4837172129965685E-2</v>
      </c>
      <c r="AG217" s="398">
        <v>0.34903857006218875</v>
      </c>
    </row>
    <row r="218" spans="1:33" x14ac:dyDescent="0.45">
      <c r="A218" s="369" t="str">
        <f>MKT!$A$15</f>
        <v>Yorkshire/Humber</v>
      </c>
      <c r="C218" s="425" t="s">
        <v>211</v>
      </c>
      <c r="D218" s="424"/>
      <c r="E218" s="369"/>
      <c r="F218" s="427">
        <f>ROUNDUP((F217*$B$5/$B$7/$B$8),0)</f>
        <v>1</v>
      </c>
      <c r="G218" s="455"/>
      <c r="H218" s="427">
        <f>ROUNDUP((H217*$B$5/$B$7/$B$8),0)</f>
        <v>4</v>
      </c>
      <c r="I218" s="456"/>
      <c r="J218" s="427">
        <f>ROUNDUP((J217*$B$5/$B$7/$B$8),0)</f>
        <v>10</v>
      </c>
      <c r="K218" s="449"/>
      <c r="L218" s="431">
        <f>ROUNDUP((L217*$B$5/$B$7/$B$8),0)</f>
        <v>33</v>
      </c>
      <c r="M218" s="450"/>
      <c r="N218" s="431">
        <f>ROUNDUP((N217*$B$5/$B$7/$B$8),0)</f>
        <v>75</v>
      </c>
      <c r="O218" s="450"/>
      <c r="P218" s="431">
        <f>ROUNDUP((P217*$B$5/$B$7/$B$8),0)</f>
        <v>91</v>
      </c>
      <c r="Q218" s="450"/>
      <c r="R218" s="431">
        <f>ROUNDUP((R217*$B$5/$B$7/$B$8),0)</f>
        <v>110</v>
      </c>
      <c r="S218" s="46"/>
      <c r="T218" s="431">
        <f>ROUNDUP((T217*$B$5/$B$7/$B$8),0)</f>
        <v>117</v>
      </c>
      <c r="U218" s="46"/>
      <c r="V218" s="431">
        <f>ROUNDUP((V217*$B$5/$B$7/$B$8),0)</f>
        <v>125</v>
      </c>
      <c r="W218" s="46"/>
      <c r="X218" s="431">
        <f>ROUNDUP((X217*$B$5/$B$7/$B$8),0)</f>
        <v>134</v>
      </c>
      <c r="AA218" s="120" t="s">
        <v>544</v>
      </c>
      <c r="AB218" s="120" t="s">
        <v>486</v>
      </c>
      <c r="AC218" s="397">
        <v>45</v>
      </c>
      <c r="AD218" s="397">
        <v>90376</v>
      </c>
      <c r="AE218" s="397">
        <v>2023</v>
      </c>
      <c r="AF218" s="398">
        <v>2.5022554904198302E-2</v>
      </c>
      <c r="AG218" s="398">
        <v>0.35039156886645795</v>
      </c>
    </row>
    <row r="219" spans="1:33" x14ac:dyDescent="0.45">
      <c r="A219" s="369" t="str">
        <f>MKT!$A$15</f>
        <v>Yorkshire/Humber</v>
      </c>
      <c r="C219" s="425" t="s">
        <v>212</v>
      </c>
      <c r="D219" s="424"/>
      <c r="E219" s="369"/>
      <c r="F219" s="427">
        <f>IF(F40="",0,IF(F218&lt;($C$4+1),0,ROUNDUP((F218-$C$4)/$D$4,0)))</f>
        <v>0</v>
      </c>
      <c r="G219" s="451"/>
      <c r="H219" s="427">
        <f>IF(H36="",0,IF(H218&lt;($C$4+1),0,ROUNDUP((H218-$C$4)/$D$4,0)))</f>
        <v>0</v>
      </c>
      <c r="I219" s="452"/>
      <c r="J219" s="427">
        <f>IF(J36="",0,IF(J218&lt;($C$4+1),0,ROUNDUP((J218-$C$4)/$D$4,0)))</f>
        <v>0</v>
      </c>
      <c r="K219" s="453"/>
      <c r="L219" s="431">
        <f>IF(L36="",0,IF(L218&lt;($C$4+1),0,ROUNDUP((L218-$C$4)/$D$4,0)))</f>
        <v>1</v>
      </c>
      <c r="M219" s="454"/>
      <c r="N219" s="431">
        <f>IF(N36="",0,IF(N218&lt;($C$4+1),0,ROUNDUP((N218-$C$4)/$D$4,0)))</f>
        <v>3</v>
      </c>
      <c r="O219" s="454"/>
      <c r="P219" s="431">
        <f>IF(P36="",0,IF(P218&lt;($C$4+1),0,ROUNDUP((P218-$C$4)/$D$4,0)))</f>
        <v>4</v>
      </c>
      <c r="Q219" s="454"/>
      <c r="R219" s="431">
        <f>IF(R36="",0,IF(R218&lt;($C$4+1),0,ROUNDUP((R218-$C$4)/$D$4,0)))</f>
        <v>5</v>
      </c>
      <c r="T219" s="431">
        <f>IF(T36="",0,IF(T218&lt;($C$4+1),0,ROUNDUP((T218-$C$4)/$D$4,0)))</f>
        <v>5</v>
      </c>
      <c r="V219" s="431">
        <f>IF(V36="",0,IF(V218&lt;($C$4+1),0,ROUNDUP((V218-$C$4)/$D$4,0)))</f>
        <v>5</v>
      </c>
      <c r="X219" s="431">
        <f>IF(X36="",0,IF(X218&lt;($C$4+1),0,ROUNDUP((X218-$C$4)/$D$4,0)))</f>
        <v>6</v>
      </c>
      <c r="AA219" s="120" t="s">
        <v>545</v>
      </c>
      <c r="AB219" s="120" t="s">
        <v>483</v>
      </c>
      <c r="AC219" s="397">
        <v>137</v>
      </c>
      <c r="AD219" s="397">
        <v>277705</v>
      </c>
      <c r="AE219" s="397">
        <v>2021</v>
      </c>
      <c r="AF219" s="398">
        <v>2.5586942461306494E-2</v>
      </c>
      <c r="AG219" s="398">
        <v>0.35454902806956029</v>
      </c>
    </row>
    <row r="220" spans="1:33" x14ac:dyDescent="0.45">
      <c r="A220" s="369" t="str">
        <f>MKT!$A$15</f>
        <v>Yorkshire/Humber</v>
      </c>
      <c r="C220" s="425" t="s">
        <v>213</v>
      </c>
      <c r="D220" s="46"/>
      <c r="E220" s="369"/>
      <c r="F220" s="427">
        <f>IF(F219&gt;0,(F219-1)*F36,0)</f>
        <v>0</v>
      </c>
      <c r="G220" s="451"/>
      <c r="H220" s="427">
        <f>(H219-F219)*H36</f>
        <v>0</v>
      </c>
      <c r="I220" s="452"/>
      <c r="J220" s="427">
        <f>(J219-H219)*J36</f>
        <v>0</v>
      </c>
      <c r="K220" s="453"/>
      <c r="L220" s="431">
        <f>(L219-J219)*L36</f>
        <v>2263.6</v>
      </c>
      <c r="M220" s="454"/>
      <c r="N220" s="431">
        <f>(N219-L219)*N36</f>
        <v>5659</v>
      </c>
      <c r="O220" s="454"/>
      <c r="P220" s="431">
        <f>(P219-N219)*P36</f>
        <v>3395.4</v>
      </c>
      <c r="Q220" s="454"/>
      <c r="R220" s="431">
        <f>(R219-P219)*R36</f>
        <v>3961.2999999999997</v>
      </c>
      <c r="T220" s="431">
        <f>(T219-R219)*T36</f>
        <v>0</v>
      </c>
      <c r="V220" s="431">
        <f>(V219-T219)*V36</f>
        <v>0</v>
      </c>
      <c r="X220" s="431">
        <f>(X219-V219)*X36</f>
        <v>5659</v>
      </c>
      <c r="AA220" s="120" t="s">
        <v>546</v>
      </c>
      <c r="AB220" s="120" t="s">
        <v>483</v>
      </c>
      <c r="AC220" s="397">
        <v>161</v>
      </c>
      <c r="AD220" s="397">
        <v>324011</v>
      </c>
      <c r="AE220" s="397">
        <v>2013</v>
      </c>
      <c r="AF220" s="398">
        <v>2.6250200831338753E-2</v>
      </c>
      <c r="AG220" s="398">
        <v>0.3593997240017775</v>
      </c>
    </row>
    <row r="221" spans="1:33" x14ac:dyDescent="0.45">
      <c r="A221" s="369"/>
      <c r="C221" s="442"/>
      <c r="D221" s="369"/>
      <c r="E221" s="369"/>
      <c r="F221" s="427"/>
      <c r="H221" s="427"/>
      <c r="I221" s="452"/>
      <c r="J221" s="427"/>
      <c r="K221" s="453"/>
      <c r="L221" s="431"/>
      <c r="M221" s="454"/>
      <c r="N221" s="431"/>
      <c r="O221" s="454"/>
      <c r="P221" s="431"/>
      <c r="Q221" s="454"/>
      <c r="R221" s="431"/>
      <c r="T221" s="431"/>
      <c r="V221" s="431"/>
      <c r="X221" s="431"/>
      <c r="AA221" s="120" t="s">
        <v>547</v>
      </c>
      <c r="AB221" s="120" t="s">
        <v>499</v>
      </c>
      <c r="AC221" s="397">
        <v>263</v>
      </c>
      <c r="AD221" s="397">
        <v>524930</v>
      </c>
      <c r="AE221" s="397">
        <v>1993</v>
      </c>
      <c r="AF221" s="398">
        <v>2.7333660156298276E-2</v>
      </c>
      <c r="AG221" s="398">
        <v>0.36725833317152418</v>
      </c>
    </row>
    <row r="222" spans="1:33" x14ac:dyDescent="0.45">
      <c r="A222" s="369" t="str">
        <f>MKT!$A$16</f>
        <v>East Midlands</v>
      </c>
      <c r="C222" s="425" t="s">
        <v>214</v>
      </c>
      <c r="D222" s="369"/>
      <c r="E222" s="369"/>
      <c r="F222" s="435">
        <f>IF(F37="0","0",(G37*1000000/F37))</f>
        <v>143.24120608810486</v>
      </c>
      <c r="G222" s="451"/>
      <c r="H222" s="435">
        <f>IF(H37="0","0",(I37*1000000/H37))</f>
        <v>537.84569163547735</v>
      </c>
      <c r="I222" s="452"/>
      <c r="J222" s="435">
        <f>IF(J37="0","0",(K37*1000000/J37))</f>
        <v>1463.1621924409944</v>
      </c>
      <c r="K222" s="453"/>
      <c r="L222" s="435">
        <f>IF(L37="0","0",(M37*1000000/L37))</f>
        <v>4828.8184593769529</v>
      </c>
      <c r="M222" s="454"/>
      <c r="N222" s="435">
        <f>IF(N37="0","0",(O37*1000000/N37))</f>
        <v>10916.112919530768</v>
      </c>
      <c r="O222" s="454"/>
      <c r="P222" s="435">
        <f>IF(P37="0","0",(Q37*1000000/P37))</f>
        <v>13312.613249070813</v>
      </c>
      <c r="Q222" s="454"/>
      <c r="R222" s="435">
        <f>IF(R37="0","0",(S37*1000000/R37))</f>
        <v>15990.744399047164</v>
      </c>
      <c r="T222" s="435">
        <f>IF(T37="0","0",(U37*1000000/T37))</f>
        <v>17107.881516034548</v>
      </c>
      <c r="V222" s="435">
        <f>IF(V37="0","0",(W37*1000000/V37))</f>
        <v>18303.176146383074</v>
      </c>
      <c r="X222" s="435">
        <f>IF(X37="0","0",(Y37*1000000/X37))</f>
        <v>19582.098516416296</v>
      </c>
      <c r="AA222" s="120" t="s">
        <v>548</v>
      </c>
      <c r="AB222" s="120" t="s">
        <v>483</v>
      </c>
      <c r="AC222" s="397">
        <v>99</v>
      </c>
      <c r="AD222" s="397">
        <v>190990</v>
      </c>
      <c r="AE222" s="397">
        <v>1920</v>
      </c>
      <c r="AF222" s="398">
        <v>2.7741502259610036E-2</v>
      </c>
      <c r="AG222" s="398">
        <v>0.3701176015793689</v>
      </c>
    </row>
    <row r="223" spans="1:33" x14ac:dyDescent="0.45">
      <c r="A223" s="369" t="str">
        <f>MKT!$A$16</f>
        <v>East Midlands</v>
      </c>
      <c r="C223" s="425" t="s">
        <v>211</v>
      </c>
      <c r="D223" s="369"/>
      <c r="E223" s="369"/>
      <c r="F223" s="427">
        <f>ROUNDUP((F222*$B$5/$B$7/$B$8),0)</f>
        <v>1</v>
      </c>
      <c r="G223" s="455"/>
      <c r="H223" s="427">
        <f>ROUNDUP((H222*$B$5/$B$7/$B$8),0)</f>
        <v>4</v>
      </c>
      <c r="I223" s="456"/>
      <c r="J223" s="427">
        <f>ROUNDUP((J222*$B$5/$B$7/$B$8),0)</f>
        <v>9</v>
      </c>
      <c r="K223" s="449"/>
      <c r="L223" s="431">
        <f>ROUNDUP((L222*$B$5/$B$7/$B$8),0)</f>
        <v>29</v>
      </c>
      <c r="M223" s="450"/>
      <c r="N223" s="431">
        <f>ROUNDUP((N222*$B$5/$B$7/$B$8),0)</f>
        <v>65</v>
      </c>
      <c r="O223" s="450"/>
      <c r="P223" s="431">
        <f>ROUNDUP((P222*$B$5/$B$7/$B$8),0)</f>
        <v>79</v>
      </c>
      <c r="Q223" s="450"/>
      <c r="R223" s="431">
        <f>ROUNDUP((R222*$B$5/$B$7/$B$8),0)</f>
        <v>95</v>
      </c>
      <c r="S223" s="46"/>
      <c r="T223" s="431">
        <f>ROUNDUP((T222*$B$5/$B$7/$B$8),0)</f>
        <v>102</v>
      </c>
      <c r="U223" s="46"/>
      <c r="V223" s="431">
        <f>ROUNDUP((V222*$B$5/$B$7/$B$8),0)</f>
        <v>109</v>
      </c>
      <c r="W223" s="46"/>
      <c r="X223" s="431">
        <f>ROUNDUP((X222*$B$5/$B$7/$B$8),0)</f>
        <v>116</v>
      </c>
      <c r="AA223" s="120" t="s">
        <v>549</v>
      </c>
      <c r="AB223" s="120" t="s">
        <v>486</v>
      </c>
      <c r="AC223" s="397">
        <v>51</v>
      </c>
      <c r="AD223" s="397">
        <v>97279</v>
      </c>
      <c r="AE223" s="397">
        <v>1891</v>
      </c>
      <c r="AF223" s="398">
        <v>2.7951602737073672E-2</v>
      </c>
      <c r="AG223" s="398">
        <v>0.37157394364673746</v>
      </c>
    </row>
    <row r="224" spans="1:33" x14ac:dyDescent="0.45">
      <c r="A224" s="369" t="str">
        <f>MKT!$A$16</f>
        <v>East Midlands</v>
      </c>
      <c r="C224" s="425" t="s">
        <v>212</v>
      </c>
      <c r="D224" s="369"/>
      <c r="F224" s="427">
        <f>IF(F37="",0,IF(F223&lt;($C$4+1),0,ROUNDUP((F223-$C$4)/$D$4,0)))</f>
        <v>0</v>
      </c>
      <c r="H224" s="427">
        <f>IF(H37="",0,IF(H223&lt;($C$4+1),0,ROUNDUP((H223-$C$4)/$D$4,0)))</f>
        <v>0</v>
      </c>
      <c r="I224" s="457"/>
      <c r="J224" s="427">
        <f>IF(J37="",0,IF(J223&lt;($C$4+1),0,ROUNDUP((J223-$C$4)/$D$4,0)))</f>
        <v>0</v>
      </c>
      <c r="K224" s="458"/>
      <c r="L224" s="431">
        <f>IF(L37="",0,IF(L223&lt;($C$4+1),0,ROUNDUP((L223-$C$4)/$D$4,0)))</f>
        <v>1</v>
      </c>
      <c r="M224" s="447"/>
      <c r="N224" s="431">
        <f>IF(N37="",0,IF(N223&lt;($C$4+1),0,ROUNDUP((N223-$C$4)/$D$4,0)))</f>
        <v>3</v>
      </c>
      <c r="O224" s="447"/>
      <c r="P224" s="431">
        <f>IF(P37="",0,IF(P223&lt;($C$4+1),0,ROUNDUP((P223-$C$4)/$D$4,0)))</f>
        <v>3</v>
      </c>
      <c r="Q224" s="447"/>
      <c r="R224" s="431">
        <f>IF(R37="",0,IF(R223&lt;($C$4+1),0,ROUNDUP((R223-$C$4)/$D$4,0)))</f>
        <v>4</v>
      </c>
      <c r="T224" s="431">
        <f>IF(T37="",0,IF(T223&lt;($C$4+1),0,ROUNDUP((T223-$C$4)/$D$4,0)))</f>
        <v>4</v>
      </c>
      <c r="V224" s="431">
        <f>IF(V37="",0,IF(V223&lt;($C$4+1),0,ROUNDUP((V223-$C$4)/$D$4,0)))</f>
        <v>5</v>
      </c>
      <c r="X224" s="431">
        <f>IF(X37="",0,IF(X223&lt;($C$4+1),0,ROUNDUP((X223-$C$4)/$D$4,0)))</f>
        <v>5</v>
      </c>
      <c r="AA224" s="120" t="s">
        <v>550</v>
      </c>
      <c r="AB224" s="120" t="s">
        <v>483</v>
      </c>
      <c r="AC224" s="397">
        <v>157</v>
      </c>
      <c r="AD224" s="397">
        <v>276410</v>
      </c>
      <c r="AE224" s="397">
        <v>1765</v>
      </c>
      <c r="AF224" s="398">
        <v>2.859838263828525E-2</v>
      </c>
      <c r="AG224" s="398">
        <v>0.37571201569560053</v>
      </c>
    </row>
    <row r="225" spans="1:33" x14ac:dyDescent="0.45">
      <c r="A225" s="369" t="str">
        <f>MKT!$A$16</f>
        <v>East Midlands</v>
      </c>
      <c r="C225" s="425" t="s">
        <v>213</v>
      </c>
      <c r="D225" s="46"/>
      <c r="F225" s="427">
        <f>IF(F224&gt;0,(F224-1)*F37,0)</f>
        <v>0</v>
      </c>
      <c r="H225" s="427">
        <f>(H224-F224)*H37</f>
        <v>0</v>
      </c>
      <c r="I225" s="457"/>
      <c r="J225" s="427">
        <f>(J224-H224)*J37</f>
        <v>0</v>
      </c>
      <c r="K225" s="458"/>
      <c r="L225" s="431">
        <f>(L224-J224)*L37</f>
        <v>2296</v>
      </c>
      <c r="M225" s="447"/>
      <c r="N225" s="431">
        <f>(N224-L224)*N37</f>
        <v>5740</v>
      </c>
      <c r="O225" s="447"/>
      <c r="P225" s="431">
        <f>(P224-N224)*P37</f>
        <v>0</v>
      </c>
      <c r="Q225" s="447"/>
      <c r="R225" s="431">
        <f>(R224-P224)*R37</f>
        <v>4017.9999999999995</v>
      </c>
      <c r="T225" s="431">
        <f>(T224-R224)*T37</f>
        <v>0</v>
      </c>
      <c r="V225" s="431">
        <f>(V224-T224)*V37</f>
        <v>5166</v>
      </c>
      <c r="X225" s="431">
        <f>(X224-V224)*X37</f>
        <v>0</v>
      </c>
      <c r="AA225" s="120" t="s">
        <v>551</v>
      </c>
      <c r="AB225" s="120" t="s">
        <v>483</v>
      </c>
      <c r="AC225" s="397">
        <v>188</v>
      </c>
      <c r="AD225" s="397">
        <v>328662</v>
      </c>
      <c r="AE225" s="397">
        <v>1747</v>
      </c>
      <c r="AF225" s="398">
        <v>2.9372870672857078E-2</v>
      </c>
      <c r="AG225" s="398">
        <v>0.38063234070454893</v>
      </c>
    </row>
    <row r="226" spans="1:33" x14ac:dyDescent="0.45">
      <c r="A226" s="369"/>
      <c r="C226" s="442"/>
      <c r="D226" s="46"/>
      <c r="F226" s="427"/>
      <c r="H226" s="427"/>
      <c r="I226" s="457"/>
      <c r="J226" s="427"/>
      <c r="K226" s="458"/>
      <c r="L226" s="431"/>
      <c r="M226" s="447"/>
      <c r="N226" s="431"/>
      <c r="O226" s="447"/>
      <c r="P226" s="431"/>
      <c r="Q226" s="447"/>
      <c r="R226" s="431"/>
      <c r="T226" s="431"/>
      <c r="V226" s="431"/>
      <c r="X226" s="431"/>
      <c r="AA226" s="120" t="s">
        <v>552</v>
      </c>
      <c r="AB226" s="120" t="s">
        <v>483</v>
      </c>
      <c r="AC226" s="397">
        <v>87</v>
      </c>
      <c r="AD226" s="397">
        <v>150862</v>
      </c>
      <c r="AE226" s="397">
        <v>1744</v>
      </c>
      <c r="AF226" s="398">
        <v>2.9731277369706807E-2</v>
      </c>
      <c r="AG226" s="398">
        <v>0.38289086183415921</v>
      </c>
    </row>
    <row r="227" spans="1:33" x14ac:dyDescent="0.45">
      <c r="A227" s="120" t="str">
        <f>MKT!$A$17</f>
        <v>North East</v>
      </c>
      <c r="C227" s="425" t="s">
        <v>214</v>
      </c>
      <c r="D227" s="46"/>
      <c r="F227" s="435">
        <f>IF(F38="0","0",(G38*1000000/F38))</f>
        <v>103.93441223767958</v>
      </c>
      <c r="H227" s="435">
        <f>IF(H38="0","0",(I38*1000000/H38))</f>
        <v>390.25555118768119</v>
      </c>
      <c r="I227" s="457"/>
      <c r="J227" s="435">
        <f>IF(J38="0","0",(K38*1000000/J38))</f>
        <v>1061.6561158121801</v>
      </c>
      <c r="K227" s="458"/>
      <c r="L227" s="435">
        <f>IF(L38="0","0",(M38*1000000/L38))</f>
        <v>3503.7432459840102</v>
      </c>
      <c r="M227" s="447"/>
      <c r="N227" s="435">
        <f>IF(N38="0","0",(O38*1000000/N38))</f>
        <v>7920.6243175146492</v>
      </c>
      <c r="O227" s="447"/>
      <c r="P227" s="435">
        <f>IF(P38="0","0",(Q38*1000000/P38))</f>
        <v>9659.5014184582615</v>
      </c>
      <c r="Q227" s="447"/>
      <c r="R227" s="435">
        <f>IF(R38="0","0",(S38*1000000/R38))</f>
        <v>11602.727076562573</v>
      </c>
      <c r="T227" s="435">
        <f>IF(T38="0","0",(U38*1000000/T38))</f>
        <v>12413.310796246997</v>
      </c>
      <c r="V227" s="435">
        <f>IF(V38="0","0",(W38*1000000/V38))</f>
        <v>13280.604839971509</v>
      </c>
      <c r="X227" s="435">
        <f>IF(X38="0","0",(Y38*1000000/X38))</f>
        <v>14208.578350228498</v>
      </c>
      <c r="AA227" s="120" t="s">
        <v>553</v>
      </c>
      <c r="AB227" s="120" t="s">
        <v>486</v>
      </c>
      <c r="AC227" s="397">
        <v>110</v>
      </c>
      <c r="AD227" s="397">
        <v>187199</v>
      </c>
      <c r="AE227" s="397">
        <v>1702</v>
      </c>
      <c r="AF227" s="398">
        <v>3.018443526227543E-2</v>
      </c>
      <c r="AG227" s="398">
        <v>0.38569337603218068</v>
      </c>
    </row>
    <row r="228" spans="1:33" x14ac:dyDescent="0.45">
      <c r="A228" s="120" t="str">
        <f>MKT!$A$17</f>
        <v>North East</v>
      </c>
      <c r="C228" s="425" t="s">
        <v>211</v>
      </c>
      <c r="D228" s="46"/>
      <c r="F228" s="427">
        <f>ROUNDUP((F227*$B$5/$B$7/$B$8),0)</f>
        <v>1</v>
      </c>
      <c r="G228" s="422"/>
      <c r="H228" s="427">
        <f>ROUNDUP((H227*$B$5/$B$7/$B$8),0)</f>
        <v>3</v>
      </c>
      <c r="I228" s="459"/>
      <c r="J228" s="427">
        <f>ROUNDUP((J227*$B$5/$B$7/$B$8),0)</f>
        <v>7</v>
      </c>
      <c r="K228" s="460"/>
      <c r="L228" s="431">
        <f>ROUNDUP((L227*$B$5/$B$7/$B$8),0)</f>
        <v>21</v>
      </c>
      <c r="M228" s="461"/>
      <c r="N228" s="431">
        <f>ROUNDUP((N227*$B$5/$B$7/$B$8),0)</f>
        <v>47</v>
      </c>
      <c r="O228" s="461"/>
      <c r="P228" s="431">
        <f>ROUNDUP((P227*$B$5/$B$7/$B$8),0)</f>
        <v>58</v>
      </c>
      <c r="Q228" s="461"/>
      <c r="R228" s="431">
        <f>ROUNDUP((R227*$B$5/$B$7/$B$8),0)</f>
        <v>69</v>
      </c>
      <c r="S228" s="46"/>
      <c r="T228" s="431">
        <f>ROUNDUP((T227*$B$5/$B$7/$B$8),0)</f>
        <v>74</v>
      </c>
      <c r="U228" s="46"/>
      <c r="V228" s="431">
        <f>ROUNDUP((V227*$B$5/$B$7/$B$8),0)</f>
        <v>79</v>
      </c>
      <c r="W228" s="46"/>
      <c r="X228" s="431">
        <f>ROUNDUP((X227*$B$5/$B$7/$B$8),0)</f>
        <v>85</v>
      </c>
      <c r="AA228" s="120" t="s">
        <v>554</v>
      </c>
      <c r="AB228" s="120" t="s">
        <v>486</v>
      </c>
      <c r="AC228" s="397">
        <v>80</v>
      </c>
      <c r="AD228" s="397">
        <v>133584</v>
      </c>
      <c r="AE228" s="397">
        <v>1677</v>
      </c>
      <c r="AF228" s="398">
        <v>3.0514004638688974E-2</v>
      </c>
      <c r="AG228" s="398">
        <v>0.38769323210314527</v>
      </c>
    </row>
    <row r="229" spans="1:33" x14ac:dyDescent="0.45">
      <c r="A229" s="120" t="str">
        <f>MKT!$A$17</f>
        <v>North East</v>
      </c>
      <c r="C229" s="425" t="s">
        <v>212</v>
      </c>
      <c r="D229" s="46"/>
      <c r="F229" s="427">
        <f>IF(F38="",0,IF(F228&lt;($C$4+1),0,ROUNDUP((F228-$C$4)/$D$4,0)))</f>
        <v>0</v>
      </c>
      <c r="H229" s="427">
        <f>IF(H38="",0,IF(H228&lt;($C$4+1),0,ROUNDUP((H228-$C$4)/$D$4,0)))</f>
        <v>0</v>
      </c>
      <c r="I229" s="457"/>
      <c r="J229" s="427">
        <f>IF(J38="",0,IF(J228&lt;($C$4+1),0,ROUNDUP((J228-$C$4)/$D$4,0)))</f>
        <v>0</v>
      </c>
      <c r="K229" s="458"/>
      <c r="L229" s="431">
        <f>IF(L38="",0,IF(L228&lt;($C$4+1),0,ROUNDUP((L228-$C$4)/$D$4,0)))</f>
        <v>1</v>
      </c>
      <c r="M229" s="447"/>
      <c r="N229" s="431">
        <f>IF(N38="",0,IF(N228&lt;($C$4+1),0,ROUNDUP((N228-$C$4)/$D$4,0)))</f>
        <v>2</v>
      </c>
      <c r="O229" s="447"/>
      <c r="P229" s="431">
        <f>IF(P38="",0,IF(P228&lt;($C$4+1),0,ROUNDUP((P228-$C$4)/$D$4,0)))</f>
        <v>2</v>
      </c>
      <c r="Q229" s="447"/>
      <c r="R229" s="431">
        <f>IF(R38="",0,IF(R228&lt;($C$4+1),0,ROUNDUP((R228-$C$4)/$D$4,0)))</f>
        <v>3</v>
      </c>
      <c r="T229" s="431">
        <f>IF(T38="",0,IF(T228&lt;($C$4+1),0,ROUNDUP((T228-$C$4)/$D$4,0)))</f>
        <v>3</v>
      </c>
      <c r="V229" s="431">
        <f>IF(V38="",0,IF(V228&lt;($C$4+1),0,ROUNDUP((V228-$C$4)/$D$4,0)))</f>
        <v>3</v>
      </c>
      <c r="X229" s="431">
        <f>IF(X38="",0,IF(X228&lt;($C$4+1),0,ROUNDUP((X228-$C$4)/$D$4,0)))</f>
        <v>4</v>
      </c>
      <c r="AA229" s="120" t="s">
        <v>555</v>
      </c>
      <c r="AB229" s="120" t="s">
        <v>483</v>
      </c>
      <c r="AC229" s="397">
        <v>142</v>
      </c>
      <c r="AD229" s="397">
        <v>237110</v>
      </c>
      <c r="AE229" s="397">
        <v>1666</v>
      </c>
      <c r="AF229" s="398">
        <v>3.1098990281823013E-2</v>
      </c>
      <c r="AG229" s="398">
        <v>0.39124295267586667</v>
      </c>
    </row>
    <row r="230" spans="1:33" x14ac:dyDescent="0.45">
      <c r="A230" s="120" t="str">
        <f>MKT!$A$17</f>
        <v>North East</v>
      </c>
      <c r="C230" s="425" t="s">
        <v>213</v>
      </c>
      <c r="D230" s="46"/>
      <c r="F230" s="427">
        <f>IF(F229&gt;0,(F229-1)*F38,0)</f>
        <v>0</v>
      </c>
      <c r="H230" s="427">
        <f>(H229-F229)*H38</f>
        <v>0</v>
      </c>
      <c r="I230" s="457"/>
      <c r="J230" s="427">
        <f>(J229-H229)*J38</f>
        <v>0</v>
      </c>
      <c r="K230" s="458"/>
      <c r="L230" s="431">
        <f>(L229-J229)*L38</f>
        <v>1590</v>
      </c>
      <c r="M230" s="447"/>
      <c r="N230" s="431">
        <f>(N229-L229)*N38</f>
        <v>1987.5</v>
      </c>
      <c r="O230" s="447"/>
      <c r="P230" s="431">
        <f>(P229-N229)*P38</f>
        <v>0</v>
      </c>
      <c r="Q230" s="447"/>
      <c r="R230" s="431">
        <f>(R229-P229)*R38</f>
        <v>2782.5</v>
      </c>
      <c r="T230" s="431">
        <f>(T229-R229)*T38</f>
        <v>0</v>
      </c>
      <c r="V230" s="431">
        <f>(V229-T229)*V38</f>
        <v>0</v>
      </c>
      <c r="X230" s="431">
        <f>(X229-V229)*X38</f>
        <v>3975</v>
      </c>
      <c r="AA230" s="120" t="s">
        <v>556</v>
      </c>
      <c r="AB230" s="120" t="s">
        <v>486</v>
      </c>
      <c r="AC230" s="397">
        <v>79</v>
      </c>
      <c r="AD230" s="397">
        <v>129883</v>
      </c>
      <c r="AE230" s="397">
        <v>1645</v>
      </c>
      <c r="AF230" s="398">
        <v>3.1424440041031385E-2</v>
      </c>
      <c r="AG230" s="398">
        <v>0.39318740190680074</v>
      </c>
    </row>
    <row r="231" spans="1:33" x14ac:dyDescent="0.45">
      <c r="F231" s="427"/>
      <c r="H231" s="427"/>
      <c r="I231" s="457"/>
      <c r="J231" s="427"/>
      <c r="K231" s="458"/>
      <c r="L231" s="431"/>
      <c r="M231" s="447"/>
      <c r="N231" s="431"/>
      <c r="O231" s="447"/>
      <c r="P231" s="431"/>
      <c r="Q231" s="447"/>
      <c r="R231" s="431"/>
      <c r="T231" s="431"/>
      <c r="V231" s="431"/>
      <c r="X231" s="431"/>
      <c r="AA231" s="120" t="s">
        <v>557</v>
      </c>
      <c r="AB231" s="120" t="s">
        <v>478</v>
      </c>
      <c r="AC231" s="397">
        <v>79</v>
      </c>
      <c r="AD231" s="397">
        <v>129410</v>
      </c>
      <c r="AE231" s="397">
        <v>1636</v>
      </c>
      <c r="AF231" s="398">
        <v>3.174988980023976E-2</v>
      </c>
      <c r="AG231" s="398">
        <v>0.39512476996093543</v>
      </c>
    </row>
    <row r="232" spans="1:33" x14ac:dyDescent="0.45">
      <c r="A232" s="120" t="str">
        <f>MKT!$A$18</f>
        <v>Scotland</v>
      </c>
      <c r="C232" s="425" t="s">
        <v>214</v>
      </c>
      <c r="D232" s="424"/>
      <c r="F232" s="435">
        <f>IF(F39="0","0",(G39*1000000/F39))</f>
        <v>222.95300656880849</v>
      </c>
      <c r="H232" s="435">
        <f>IF(H39="0","0",(I39*1000000/H39))</f>
        <v>837.14956956207823</v>
      </c>
      <c r="I232" s="457"/>
      <c r="J232" s="435">
        <f>IF(J39="0","0",(K39*1000000/J39))</f>
        <v>2277.3922309888962</v>
      </c>
      <c r="K232" s="458"/>
      <c r="L232" s="435">
        <f>IF(L39="0","0",(M39*1000000/L39))</f>
        <v>7515.9908457546653</v>
      </c>
      <c r="M232" s="447"/>
      <c r="N232" s="435">
        <f>IF(N39="0","0",(O39*1000000/N39))</f>
        <v>16990.782624079751</v>
      </c>
      <c r="O232" s="447"/>
      <c r="P232" s="435">
        <f>IF(P39="0","0",(Q39*1000000/P39))</f>
        <v>20720.903085265007</v>
      </c>
      <c r="Q232" s="447"/>
      <c r="R232" s="435">
        <f>IF(R39="0","0",(S39*1000000/R39))</f>
        <v>24889.378122437938</v>
      </c>
      <c r="T232" s="435">
        <f>IF(T39="0","0",(U39*1000000/T39))</f>
        <v>26628.186987456491</v>
      </c>
      <c r="V232" s="435">
        <f>IF(V39="0","0",(W39*1000000/V39))</f>
        <v>28488.646968558871</v>
      </c>
      <c r="X232" s="435">
        <f>IF(X39="0","0",(Y39*1000000/X39))</f>
        <v>30479.272399286037</v>
      </c>
      <c r="AA232" s="120" t="s">
        <v>558</v>
      </c>
      <c r="AB232" s="120" t="s">
        <v>483</v>
      </c>
      <c r="AC232" s="397">
        <v>368</v>
      </c>
      <c r="AD232" s="397">
        <v>584853</v>
      </c>
      <c r="AE232" s="397">
        <v>1590</v>
      </c>
      <c r="AF232" s="398">
        <v>3.3265908931742062E-2</v>
      </c>
      <c r="AG232" s="398">
        <v>0.40388047290943113</v>
      </c>
    </row>
    <row r="233" spans="1:33" x14ac:dyDescent="0.45">
      <c r="A233" s="120" t="str">
        <f>MKT!$A$18</f>
        <v>Scotland</v>
      </c>
      <c r="C233" s="425" t="s">
        <v>211</v>
      </c>
      <c r="D233" s="424"/>
      <c r="F233" s="427">
        <f>ROUNDUP((F232*$B$5/$B$7/$B$8),0)</f>
        <v>2</v>
      </c>
      <c r="G233" s="422"/>
      <c r="H233" s="427">
        <f>ROUNDUP((H232*$B$5/$B$7/$B$8),0)</f>
        <v>5</v>
      </c>
      <c r="I233" s="459"/>
      <c r="J233" s="427">
        <f>ROUNDUP((J232*$B$5/$B$7/$B$8),0)</f>
        <v>14</v>
      </c>
      <c r="K233" s="460"/>
      <c r="L233" s="431">
        <f>ROUNDUP((L232*$B$5/$B$7/$B$8),0)</f>
        <v>45</v>
      </c>
      <c r="M233" s="461"/>
      <c r="N233" s="431">
        <f>ROUNDUP((N232*$B$5/$B$7/$B$8),0)</f>
        <v>101</v>
      </c>
      <c r="O233" s="461"/>
      <c r="P233" s="431">
        <f>ROUNDUP((P232*$B$5/$B$7/$B$8),0)</f>
        <v>123</v>
      </c>
      <c r="Q233" s="461"/>
      <c r="R233" s="431">
        <f>ROUNDUP((R232*$B$5/$B$7/$B$8),0)</f>
        <v>148</v>
      </c>
      <c r="S233" s="46"/>
      <c r="T233" s="431">
        <f>ROUNDUP((T232*$B$5/$B$7/$B$8),0)</f>
        <v>158</v>
      </c>
      <c r="U233" s="46"/>
      <c r="V233" s="431">
        <f>ROUNDUP((V232*$B$5/$B$7/$B$8),0)</f>
        <v>169</v>
      </c>
      <c r="W233" s="46"/>
      <c r="X233" s="431">
        <f>ROUNDUP((X232*$B$5/$B$7/$B$8),0)</f>
        <v>181</v>
      </c>
      <c r="AA233" s="120" t="s">
        <v>559</v>
      </c>
      <c r="AB233" s="120" t="s">
        <v>486</v>
      </c>
      <c r="AC233" s="397">
        <v>66</v>
      </c>
      <c r="AD233" s="397">
        <v>104900</v>
      </c>
      <c r="AE233" s="397">
        <v>1589</v>
      </c>
      <c r="AF233" s="398">
        <v>3.3537803667283234E-2</v>
      </c>
      <c r="AG233" s="398">
        <v>0.4054509072566897</v>
      </c>
    </row>
    <row r="234" spans="1:33" x14ac:dyDescent="0.45">
      <c r="A234" s="120" t="str">
        <f>MKT!$A$18</f>
        <v>Scotland</v>
      </c>
      <c r="C234" s="425" t="s">
        <v>212</v>
      </c>
      <c r="D234" s="424"/>
      <c r="F234" s="427">
        <f>IF(F39="",0,IF(F233&lt;($C$4+1),0,ROUNDUP((F233-$C$4)/$D$4,0)))</f>
        <v>0</v>
      </c>
      <c r="H234" s="427">
        <f>IF(H39="",0,IF(H233&lt;($C$4+1),0,ROUNDUP((H233-$C$4)/$D$4,0)))</f>
        <v>0</v>
      </c>
      <c r="I234" s="457"/>
      <c r="J234" s="427">
        <f>IF(J39="",0,IF(J233&lt;($C$4+1),0,ROUNDUP((J233-$C$4)/$D$4,0)))</f>
        <v>0</v>
      </c>
      <c r="K234" s="458"/>
      <c r="L234" s="431">
        <f>IF(L39="",0,IF(L233&lt;($C$4+1),0,ROUNDUP((L233-$C$4)/$D$4,0)))</f>
        <v>2</v>
      </c>
      <c r="M234" s="447"/>
      <c r="N234" s="431">
        <f>IF(N39="",0,IF(N233&lt;($C$4+1),0,ROUNDUP((N233-$C$4)/$D$4,0)))</f>
        <v>4</v>
      </c>
      <c r="O234" s="447"/>
      <c r="P234" s="431">
        <f>IF(P39="",0,IF(P233&lt;($C$4+1),0,ROUNDUP((P233-$C$4)/$D$4,0)))</f>
        <v>5</v>
      </c>
      <c r="Q234" s="447"/>
      <c r="R234" s="431">
        <f>IF(R39="",0,IF(R233&lt;($C$4+1),0,ROUNDUP((R233-$C$4)/$D$4,0)))</f>
        <v>6</v>
      </c>
      <c r="T234" s="431">
        <f>IF(T39="",0,IF(T233&lt;($C$4+1),0,ROUNDUP((T233-$C$4)/$D$4,0)))</f>
        <v>7</v>
      </c>
      <c r="V234" s="431">
        <f>IF(V39="",0,IF(V233&lt;($C$4+1),0,ROUNDUP((V233-$C$4)/$D$4,0)))</f>
        <v>7</v>
      </c>
      <c r="X234" s="431">
        <f>IF(X39="",0,IF(X233&lt;($C$4+1),0,ROUNDUP((X233-$C$4)/$D$4,0)))</f>
        <v>8</v>
      </c>
      <c r="AA234" s="120" t="s">
        <v>560</v>
      </c>
      <c r="AB234" s="120" t="s">
        <v>486</v>
      </c>
      <c r="AC234" s="397">
        <v>64</v>
      </c>
      <c r="AD234" s="397">
        <v>100793</v>
      </c>
      <c r="AE234" s="397">
        <v>1585</v>
      </c>
      <c r="AF234" s="398">
        <v>3.3801459168414073E-2</v>
      </c>
      <c r="AG234" s="398">
        <v>0.40695985662907508</v>
      </c>
    </row>
    <row r="235" spans="1:33" x14ac:dyDescent="0.45">
      <c r="A235" s="120" t="str">
        <f>MKT!$A$18</f>
        <v>Scotland</v>
      </c>
      <c r="C235" s="425" t="s">
        <v>213</v>
      </c>
      <c r="D235" s="46"/>
      <c r="F235" s="427">
        <f>IF(F234&gt;0,(F234-1)*F39,0)</f>
        <v>0</v>
      </c>
      <c r="H235" s="427">
        <f>(H234-F234)*H39</f>
        <v>0</v>
      </c>
      <c r="I235" s="457"/>
      <c r="J235" s="427">
        <f>(J234-H234)*J39</f>
        <v>0</v>
      </c>
      <c r="K235" s="458"/>
      <c r="L235" s="431">
        <f>(L234-J234)*L39</f>
        <v>3817.6000000000004</v>
      </c>
      <c r="M235" s="447"/>
      <c r="N235" s="431">
        <f>(N234-L234)*N39</f>
        <v>4772</v>
      </c>
      <c r="O235" s="447"/>
      <c r="P235" s="431">
        <f>(P234-N234)*P39</f>
        <v>2863.2</v>
      </c>
      <c r="Q235" s="447"/>
      <c r="R235" s="431">
        <f>(R234-P234)*R39</f>
        <v>3340.3999999999996</v>
      </c>
      <c r="T235" s="431">
        <f>(T234-R234)*T39</f>
        <v>3817.6000000000004</v>
      </c>
      <c r="V235" s="431">
        <f>(V234-T234)*V39</f>
        <v>0</v>
      </c>
      <c r="X235" s="431">
        <f>(X234-V234)*X39</f>
        <v>4772</v>
      </c>
      <c r="AA235" s="120" t="s">
        <v>561</v>
      </c>
      <c r="AB235" s="120" t="s">
        <v>486</v>
      </c>
      <c r="AC235" s="397">
        <v>54</v>
      </c>
      <c r="AD235" s="397">
        <v>85261</v>
      </c>
      <c r="AE235" s="397">
        <v>1572</v>
      </c>
      <c r="AF235" s="398">
        <v>3.4023918497493214E-2</v>
      </c>
      <c r="AG235" s="398">
        <v>0.40823627991679301</v>
      </c>
    </row>
    <row r="236" spans="1:33" x14ac:dyDescent="0.45">
      <c r="F236" s="427"/>
      <c r="H236" s="427"/>
      <c r="I236" s="457"/>
      <c r="J236" s="427"/>
      <c r="K236" s="458"/>
      <c r="L236" s="431"/>
      <c r="M236" s="447"/>
      <c r="N236" s="431"/>
      <c r="O236" s="447"/>
      <c r="P236" s="431"/>
      <c r="Q236" s="447"/>
      <c r="R236" s="431"/>
      <c r="T236" s="431"/>
      <c r="V236" s="431"/>
      <c r="X236" s="431"/>
      <c r="AA236" s="120" t="s">
        <v>562</v>
      </c>
      <c r="AB236" s="120" t="s">
        <v>486</v>
      </c>
      <c r="AC236" s="397">
        <v>74</v>
      </c>
      <c r="AD236" s="397">
        <v>116233</v>
      </c>
      <c r="AE236" s="397">
        <v>1565</v>
      </c>
      <c r="AF236" s="398">
        <v>3.4328770170675739E-2</v>
      </c>
      <c r="AG236" s="398">
        <v>0.40997637806250231</v>
      </c>
    </row>
    <row r="237" spans="1:33" x14ac:dyDescent="0.45">
      <c r="A237" s="120" t="str">
        <f>MKT!$A$19</f>
        <v>Wales</v>
      </c>
      <c r="C237" s="425" t="s">
        <v>214</v>
      </c>
      <c r="F237" s="435">
        <f>IF(F40="0","0",(G40*1000000/F40))</f>
        <v>392.50810390510236</v>
      </c>
      <c r="H237" s="435">
        <f>IF(H40="0","0",(I40*1000000/H40))</f>
        <v>1473.7993234120124</v>
      </c>
      <c r="I237" s="457"/>
      <c r="J237" s="435">
        <f>IF(J40="0","0",(K40*1000000/J40))</f>
        <v>4009.3422384855157</v>
      </c>
      <c r="K237" s="458"/>
      <c r="L237" s="435">
        <f>IF(L40="0","0",(M40*1000000/L40))</f>
        <v>13231.879494411773</v>
      </c>
      <c r="M237" s="447"/>
      <c r="N237" s="435">
        <f>IF(N40="0","0",(O40*1000000/N40))</f>
        <v>29912.22219550149</v>
      </c>
      <c r="O237" s="447"/>
      <c r="P237" s="435">
        <f>IF(P40="0","0",(Q40*1000000/P40))</f>
        <v>36479.088155685771</v>
      </c>
      <c r="Q237" s="447"/>
      <c r="R237" s="435">
        <f>IF(R40="0","0",(S40*1000000/R40))</f>
        <v>43817.676041072911</v>
      </c>
      <c r="T237" s="435">
        <f>IF(T40="0","0",(U40*1000000/T40))</f>
        <v>46878.84386816468</v>
      </c>
      <c r="V237" s="435">
        <f>IF(V40="0","0",(W40*1000000/V40))</f>
        <v>50154.178122733021</v>
      </c>
      <c r="X237" s="435">
        <f>IF(X40="0","0",(Y40*1000000/X40))</f>
        <v>53658.668263613268</v>
      </c>
      <c r="AA237" s="120" t="s">
        <v>563</v>
      </c>
      <c r="AB237" s="120" t="s">
        <v>486</v>
      </c>
      <c r="AC237" s="397">
        <v>73</v>
      </c>
      <c r="AD237" s="397">
        <v>112606</v>
      </c>
      <c r="AE237" s="397">
        <v>1548</v>
      </c>
      <c r="AF237" s="398">
        <v>3.4629502226653099E-2</v>
      </c>
      <c r="AG237" s="398">
        <v>0.41166217720556614</v>
      </c>
    </row>
    <row r="238" spans="1:33" x14ac:dyDescent="0.45">
      <c r="A238" s="120" t="str">
        <f>MKT!$A$19</f>
        <v>Wales</v>
      </c>
      <c r="C238" s="425" t="s">
        <v>211</v>
      </c>
      <c r="F238" s="427">
        <f>ROUNDUP((F237*$B$5/$B$7/$B$8),0)</f>
        <v>3</v>
      </c>
      <c r="G238" s="422"/>
      <c r="H238" s="427">
        <f>ROUNDUP((H237*$B$5/$B$7/$B$8),0)</f>
        <v>9</v>
      </c>
      <c r="I238" s="459"/>
      <c r="J238" s="427">
        <f>ROUNDUP((J237*$B$5/$B$7/$B$8),0)</f>
        <v>24</v>
      </c>
      <c r="K238" s="460"/>
      <c r="L238" s="431">
        <f>ROUNDUP((L237*$B$5/$B$7/$B$8),0)</f>
        <v>79</v>
      </c>
      <c r="M238" s="461"/>
      <c r="N238" s="431">
        <f>ROUNDUP((N237*$B$5/$B$7/$B$8),0)</f>
        <v>177</v>
      </c>
      <c r="O238" s="461"/>
      <c r="P238" s="431">
        <f>ROUNDUP((P237*$B$5/$B$7/$B$8),0)</f>
        <v>216</v>
      </c>
      <c r="Q238" s="461"/>
      <c r="R238" s="431">
        <f>ROUNDUP((R237*$B$5/$B$7/$B$8),0)</f>
        <v>260</v>
      </c>
      <c r="S238" s="46"/>
      <c r="T238" s="431">
        <f>ROUNDUP((T237*$B$5/$B$7/$B$8),0)</f>
        <v>278</v>
      </c>
      <c r="U238" s="46"/>
      <c r="V238" s="431">
        <f>ROUNDUP((V237*$B$5/$B$7/$B$8),0)</f>
        <v>297</v>
      </c>
      <c r="W238" s="46"/>
      <c r="X238" s="431">
        <f>ROUNDUP((X237*$B$5/$B$7/$B$8),0)</f>
        <v>318</v>
      </c>
      <c r="AA238" s="120" t="s">
        <v>564</v>
      </c>
      <c r="AB238" s="120" t="s">
        <v>486</v>
      </c>
      <c r="AC238" s="397">
        <v>42</v>
      </c>
      <c r="AD238" s="397">
        <v>64301</v>
      </c>
      <c r="AE238" s="397">
        <v>1529</v>
      </c>
      <c r="AF238" s="398">
        <v>3.4802526149270208E-2</v>
      </c>
      <c r="AG238" s="398">
        <v>0.41262481303934184</v>
      </c>
    </row>
    <row r="239" spans="1:33" x14ac:dyDescent="0.45">
      <c r="A239" s="120" t="str">
        <f>MKT!$A$19</f>
        <v>Wales</v>
      </c>
      <c r="C239" s="425" t="s">
        <v>212</v>
      </c>
      <c r="F239" s="427">
        <f>IF(F40="",0,IF(F238&lt;($C$4+1),0,ROUNDUP((F238-$C$4)/$D$4,0)))</f>
        <v>0</v>
      </c>
      <c r="H239" s="427">
        <f>IF(H40="",0,IF(H238&lt;($C$4+1),0,ROUNDUP((H238-$C$4)/$D$4,0)))</f>
        <v>0</v>
      </c>
      <c r="I239" s="457"/>
      <c r="J239" s="427">
        <f>IF(J40="",0,IF(J238&lt;($C$4+1),0,ROUNDUP((J238-$C$4)/$D$4,0)))</f>
        <v>1</v>
      </c>
      <c r="K239" s="458"/>
      <c r="L239" s="431">
        <f>IF(L40="",0,IF(L238&lt;($C$4+1),0,ROUNDUP((L238-$C$4)/$D$4,0)))</f>
        <v>3</v>
      </c>
      <c r="M239" s="447"/>
      <c r="N239" s="431">
        <f>IF(N40="",0,IF(N238&lt;($C$4+1),0,ROUNDUP((N238-$C$4)/$D$4,0)))</f>
        <v>8</v>
      </c>
      <c r="O239" s="447"/>
      <c r="P239" s="431">
        <f>IF(P40="",0,IF(P238&lt;($C$4+1),0,ROUNDUP((P238-$C$4)/$D$4,0)))</f>
        <v>10</v>
      </c>
      <c r="Q239" s="447"/>
      <c r="R239" s="431">
        <f>IF(R40="",0,IF(R238&lt;($C$4+1),0,ROUNDUP((R238-$C$4)/$D$4,0)))</f>
        <v>12</v>
      </c>
      <c r="T239" s="431">
        <f>IF(T40="",0,IF(T238&lt;($C$4+1),0,ROUNDUP((T238-$C$4)/$D$4,0)))</f>
        <v>12</v>
      </c>
      <c r="V239" s="431">
        <f>IF(V40="",0,IF(V238&lt;($C$4+1),0,ROUNDUP((V238-$C$4)/$D$4,0)))</f>
        <v>13</v>
      </c>
      <c r="X239" s="431">
        <f>IF(X40="",0,IF(X238&lt;($C$4+1),0,ROUNDUP((X238-$C$4)/$D$4,0)))</f>
        <v>14</v>
      </c>
      <c r="AA239" s="120" t="s">
        <v>565</v>
      </c>
      <c r="AB239" s="120" t="s">
        <v>483</v>
      </c>
      <c r="AC239" s="397">
        <v>366</v>
      </c>
      <c r="AD239" s="397">
        <v>539776</v>
      </c>
      <c r="AE239" s="397">
        <v>1473</v>
      </c>
      <c r="AF239" s="398">
        <v>3.6310306046362172E-2</v>
      </c>
      <c r="AG239" s="398">
        <v>0.42070567834178063</v>
      </c>
    </row>
    <row r="240" spans="1:33" x14ac:dyDescent="0.45">
      <c r="A240" s="120" t="str">
        <f>MKT!$A$19</f>
        <v>Wales</v>
      </c>
      <c r="C240" s="425" t="s">
        <v>213</v>
      </c>
      <c r="D240" s="46"/>
      <c r="F240" s="427">
        <f>IF(F239&gt;0,(F239-1)*F40,0)</f>
        <v>0</v>
      </c>
      <c r="H240" s="427">
        <f>(H239-F239)*H40</f>
        <v>0</v>
      </c>
      <c r="I240" s="457"/>
      <c r="J240" s="427">
        <f>(J239-H239)*J40</f>
        <v>377.7</v>
      </c>
      <c r="K240" s="458"/>
      <c r="L240" s="431">
        <f>(L239-J239)*L40</f>
        <v>1007.2</v>
      </c>
      <c r="M240" s="447"/>
      <c r="N240" s="431">
        <f>(N239-L239)*N40</f>
        <v>3147.5</v>
      </c>
      <c r="O240" s="447"/>
      <c r="P240" s="431">
        <f>(P239-N239)*P40</f>
        <v>1510.8</v>
      </c>
      <c r="Q240" s="447"/>
      <c r="R240" s="431">
        <f>(R239-P239)*R40</f>
        <v>1762.6</v>
      </c>
      <c r="T240" s="431">
        <f>(T239-R239)*T40</f>
        <v>0</v>
      </c>
      <c r="V240" s="431">
        <f>(V239-T239)*V40</f>
        <v>1133.1000000000001</v>
      </c>
      <c r="X240" s="431">
        <f>(X239-V239)*X40</f>
        <v>1259</v>
      </c>
      <c r="AA240" s="120" t="s">
        <v>566</v>
      </c>
      <c r="AB240" s="120" t="s">
        <v>486</v>
      </c>
      <c r="AC240" s="397">
        <v>95</v>
      </c>
      <c r="AD240" s="397">
        <v>136795</v>
      </c>
      <c r="AE240" s="397">
        <v>1439</v>
      </c>
      <c r="AF240" s="398">
        <v>3.6701669680853255E-2</v>
      </c>
      <c r="AG240" s="398">
        <v>0.42275360557279335</v>
      </c>
    </row>
    <row r="241" spans="1:33" x14ac:dyDescent="0.45">
      <c r="D241" s="46"/>
      <c r="F241" s="427"/>
      <c r="H241" s="427"/>
      <c r="I241" s="457"/>
      <c r="J241" s="427"/>
      <c r="K241" s="458"/>
      <c r="L241" s="431"/>
      <c r="M241" s="447"/>
      <c r="N241" s="431"/>
      <c r="O241" s="447"/>
      <c r="P241" s="431"/>
      <c r="Q241" s="447"/>
      <c r="R241" s="431"/>
      <c r="T241" s="431"/>
      <c r="V241" s="431"/>
      <c r="X241" s="431"/>
      <c r="AA241" s="120" t="s">
        <v>567</v>
      </c>
      <c r="AB241" s="120" t="s">
        <v>483</v>
      </c>
      <c r="AC241" s="397">
        <v>552</v>
      </c>
      <c r="AD241" s="397">
        <v>793139</v>
      </c>
      <c r="AE241" s="397">
        <v>1438</v>
      </c>
      <c r="AF241" s="398">
        <v>3.8975698378106709E-2</v>
      </c>
      <c r="AG241" s="398">
        <v>0.434627511461738</v>
      </c>
    </row>
    <row r="242" spans="1:33" x14ac:dyDescent="0.45">
      <c r="A242" s="120" t="str">
        <f>MKT!$A$20</f>
        <v>Northern Ireland</v>
      </c>
      <c r="C242" s="425" t="s">
        <v>214</v>
      </c>
      <c r="D242" s="46"/>
      <c r="F242" s="435">
        <f>IF(F41="0","0",(G41*1000000/F41))</f>
        <v>94.505819686146936</v>
      </c>
      <c r="H242" s="435">
        <f>IF(H41="0","0",(I41*1000000/H41))</f>
        <v>354.85283418661771</v>
      </c>
      <c r="I242" s="457"/>
      <c r="J242" s="435">
        <f>IF(J41="0","0",(K41*1000000/J41))</f>
        <v>965.3461186675878</v>
      </c>
      <c r="K242" s="458"/>
      <c r="L242" s="435">
        <f>IF(L41="0","0",(M41*1000000/L41))</f>
        <v>3185.8950303610495</v>
      </c>
      <c r="M242" s="447"/>
      <c r="N242" s="435">
        <f>IF(N41="0","0",(O41*1000000/N41))</f>
        <v>7202.0909863901479</v>
      </c>
      <c r="O242" s="447"/>
      <c r="P242" s="435">
        <f>IF(P41="0","0",(Q41*1000000/P41))</f>
        <v>8783.2228003878481</v>
      </c>
      <c r="Q242" s="447"/>
      <c r="R242" s="435">
        <f>IF(R41="0","0",(S41*1000000/R41))</f>
        <v>10550.16533366868</v>
      </c>
      <c r="T242" s="435">
        <f>IF(T41="0","0",(U41*1000000/T41))</f>
        <v>11287.215529111563</v>
      </c>
      <c r="V242" s="435">
        <f>IF(V41="0","0",(W41*1000000/V41))</f>
        <v>12075.831472055079</v>
      </c>
      <c r="X242" s="435">
        <f>IF(X41="0","0",(Y41*1000000/X41))</f>
        <v>12919.622237266854</v>
      </c>
      <c r="AA242" s="120" t="s">
        <v>568</v>
      </c>
      <c r="AB242" s="120" t="s">
        <v>478</v>
      </c>
      <c r="AC242" s="397">
        <v>194</v>
      </c>
      <c r="AD242" s="397">
        <v>278556</v>
      </c>
      <c r="AE242" s="397">
        <v>1438</v>
      </c>
      <c r="AF242" s="398">
        <v>3.9774904115909553E-2</v>
      </c>
      <c r="AG242" s="398">
        <v>0.43879771079476898</v>
      </c>
    </row>
    <row r="243" spans="1:33" x14ac:dyDescent="0.45">
      <c r="A243" s="120" t="str">
        <f>MKT!$A$20</f>
        <v>Northern Ireland</v>
      </c>
      <c r="C243" s="425" t="s">
        <v>211</v>
      </c>
      <c r="D243" s="46"/>
      <c r="F243" s="427">
        <f>ROUNDUP((F242*$B$5/$B$7/$B$8),0)</f>
        <v>1</v>
      </c>
      <c r="G243" s="422"/>
      <c r="H243" s="427">
        <f>ROUNDUP((H242*$B$5/$B$7/$B$8),0)</f>
        <v>3</v>
      </c>
      <c r="I243" s="459"/>
      <c r="J243" s="427">
        <f>ROUNDUP((J242*$B$5/$B$7/$B$8),0)</f>
        <v>6</v>
      </c>
      <c r="K243" s="460"/>
      <c r="L243" s="431">
        <f>ROUNDUP((L242*$B$5/$B$7/$B$8),0)</f>
        <v>19</v>
      </c>
      <c r="M243" s="461"/>
      <c r="N243" s="431">
        <f>ROUNDUP((N242*$B$5/$B$7/$B$8),0)</f>
        <v>43</v>
      </c>
      <c r="O243" s="461"/>
      <c r="P243" s="431">
        <f>ROUNDUP((P242*$B$5/$B$7/$B$8),0)</f>
        <v>52</v>
      </c>
      <c r="Q243" s="461"/>
      <c r="R243" s="431">
        <f>ROUNDUP((R242*$B$5/$B$7/$B$8),0)</f>
        <v>63</v>
      </c>
      <c r="S243" s="46"/>
      <c r="T243" s="431">
        <f>ROUNDUP((T242*$B$5/$B$7/$B$8),0)</f>
        <v>67</v>
      </c>
      <c r="U243" s="46"/>
      <c r="V243" s="431">
        <f>ROUNDUP((V242*$B$5/$B$7/$B$8),0)</f>
        <v>72</v>
      </c>
      <c r="W243" s="46"/>
      <c r="X243" s="431">
        <f>ROUNDUP((X242*$B$5/$B$7/$B$8),0)</f>
        <v>77</v>
      </c>
      <c r="AA243" s="120" t="s">
        <v>569</v>
      </c>
      <c r="AB243" s="120" t="s">
        <v>486</v>
      </c>
      <c r="AC243" s="397">
        <v>77</v>
      </c>
      <c r="AD243" s="397">
        <v>109313</v>
      </c>
      <c r="AE243" s="397">
        <v>1425</v>
      </c>
      <c r="AF243" s="398">
        <v>4.0092114640707582E-2</v>
      </c>
      <c r="AG243" s="398">
        <v>0.44043421117419579</v>
      </c>
    </row>
    <row r="244" spans="1:33" x14ac:dyDescent="0.45">
      <c r="A244" s="120" t="str">
        <f>MKT!$A$20</f>
        <v>Northern Ireland</v>
      </c>
      <c r="C244" s="425" t="s">
        <v>212</v>
      </c>
      <c r="D244" s="46"/>
      <c r="F244" s="427">
        <f>IF(F41="",0,IF(F243&lt;($C$4+1),0,ROUNDUP((F243-$C$4)/$D$4,0)))</f>
        <v>0</v>
      </c>
      <c r="H244" s="427">
        <f>IF(H41="",0,IF(H243&lt;($C$4+1),0,ROUNDUP((H243-$C$4)/$D$4,0)))</f>
        <v>0</v>
      </c>
      <c r="I244" s="457"/>
      <c r="J244" s="427">
        <f>IF(J41="",0,IF(J243&lt;($C$4+1),0,ROUNDUP((J243-$C$4)/$D$4,0)))</f>
        <v>0</v>
      </c>
      <c r="K244" s="458"/>
      <c r="L244" s="431">
        <f>IF(L41="",0,IF(L243&lt;($C$4+1),0,ROUNDUP((L243-$C$4)/$D$4,0)))</f>
        <v>1</v>
      </c>
      <c r="M244" s="447"/>
      <c r="N244" s="431">
        <f>IF(N41="",0,IF(N243&lt;($C$4+1),0,ROUNDUP((N243-$C$4)/$D$4,0)))</f>
        <v>2</v>
      </c>
      <c r="O244" s="447"/>
      <c r="P244" s="431">
        <f>IF(P41="",0,IF(P243&lt;($C$4+1),0,ROUNDUP((P243-$C$4)/$D$4,0)))</f>
        <v>2</v>
      </c>
      <c r="Q244" s="447"/>
      <c r="R244" s="431">
        <f>IF(R41="",0,IF(R243&lt;($C$4+1),0,ROUNDUP((R243-$C$4)/$D$4,0)))</f>
        <v>3</v>
      </c>
      <c r="T244" s="431">
        <f>IF(T41="",0,IF(T243&lt;($C$4+1),0,ROUNDUP((T243-$C$4)/$D$4,0)))</f>
        <v>3</v>
      </c>
      <c r="V244" s="431">
        <f>IF(V41="",0,IF(V243&lt;($C$4+1),0,ROUNDUP((V243-$C$4)/$D$4,0)))</f>
        <v>3</v>
      </c>
      <c r="X244" s="431">
        <f>IF(X41="",0,IF(X243&lt;($C$4+1),0,ROUNDUP((X243-$C$4)/$D$4,0)))</f>
        <v>3</v>
      </c>
      <c r="AA244" s="120" t="s">
        <v>570</v>
      </c>
      <c r="AB244" s="120" t="s">
        <v>486</v>
      </c>
      <c r="AC244" s="397">
        <v>80</v>
      </c>
      <c r="AD244" s="397">
        <v>114033</v>
      </c>
      <c r="AE244" s="397">
        <v>1424</v>
      </c>
      <c r="AF244" s="398">
        <v>4.042168401712113E-2</v>
      </c>
      <c r="AG244" s="398">
        <v>0.44214137361386152</v>
      </c>
    </row>
    <row r="245" spans="1:33" x14ac:dyDescent="0.45">
      <c r="A245" s="120" t="str">
        <f>MKT!$A$20</f>
        <v>Northern Ireland</v>
      </c>
      <c r="C245" s="425" t="s">
        <v>213</v>
      </c>
      <c r="D245" s="46"/>
      <c r="F245" s="427">
        <f>IF(F244&gt;0,(F244-1)*F41,0)</f>
        <v>0</v>
      </c>
      <c r="H245" s="427">
        <f>(H244-F244)*H41</f>
        <v>0</v>
      </c>
      <c r="I245" s="457"/>
      <c r="J245" s="427">
        <f>(J244-H244)*J41</f>
        <v>0</v>
      </c>
      <c r="K245" s="458"/>
      <c r="L245" s="431">
        <f>(L244-J244)*L41</f>
        <v>1364.8000000000002</v>
      </c>
      <c r="M245" s="447"/>
      <c r="N245" s="431">
        <f>(N244-L244)*N41</f>
        <v>1706</v>
      </c>
      <c r="O245" s="447"/>
      <c r="P245" s="431">
        <f>(P244-N244)*P41</f>
        <v>0</v>
      </c>
      <c r="Q245" s="447"/>
      <c r="R245" s="431">
        <f>(R244-P244)*R41</f>
        <v>2388.3999999999996</v>
      </c>
      <c r="T245" s="431">
        <f>(T244-R244)*T41</f>
        <v>0</v>
      </c>
      <c r="V245" s="431">
        <f>(V244-T244)*V41</f>
        <v>0</v>
      </c>
      <c r="X245" s="431">
        <f>(X244-V244)*X41</f>
        <v>0</v>
      </c>
      <c r="AA245" s="120" t="s">
        <v>571</v>
      </c>
      <c r="AB245" s="120" t="s">
        <v>483</v>
      </c>
      <c r="AC245" s="397">
        <v>142</v>
      </c>
      <c r="AD245" s="397">
        <v>202055</v>
      </c>
      <c r="AE245" s="397">
        <v>1419</v>
      </c>
      <c r="AF245" s="398">
        <v>4.1006669660255173E-2</v>
      </c>
      <c r="AG245" s="398">
        <v>0.44516629365232979</v>
      </c>
    </row>
    <row r="246" spans="1:33" x14ac:dyDescent="0.45">
      <c r="C246" s="442"/>
      <c r="F246" s="427"/>
      <c r="H246" s="427"/>
      <c r="I246" s="457"/>
      <c r="J246" s="427"/>
      <c r="K246" s="458"/>
      <c r="L246" s="431"/>
      <c r="M246" s="447"/>
      <c r="N246" s="431"/>
      <c r="O246" s="447"/>
      <c r="P246" s="431"/>
      <c r="Q246" s="447"/>
      <c r="R246" s="431"/>
      <c r="T246" s="431"/>
      <c r="V246" s="431"/>
      <c r="X246" s="431"/>
      <c r="AA246" s="120" t="s">
        <v>572</v>
      </c>
      <c r="AB246" s="120" t="s">
        <v>483</v>
      </c>
      <c r="AC246" s="397">
        <v>158</v>
      </c>
      <c r="AD246" s="397">
        <v>222412</v>
      </c>
      <c r="AE246" s="397">
        <v>1407</v>
      </c>
      <c r="AF246" s="398">
        <v>4.1657569178671916E-2</v>
      </c>
      <c r="AG246" s="398">
        <v>0.4484959737671293</v>
      </c>
    </row>
    <row r="247" spans="1:33" x14ac:dyDescent="0.45">
      <c r="A247" s="120" t="str">
        <f>MKT!$A$21</f>
        <v xml:space="preserve"> </v>
      </c>
      <c r="C247" s="425" t="s">
        <v>214</v>
      </c>
      <c r="D247" s="424"/>
      <c r="F247" s="435" t="str">
        <f>IF(F42="0","0",(G42*1000000/F42))</f>
        <v>0</v>
      </c>
      <c r="H247" s="435" t="str">
        <f>IF(H42="0","0",(I42*1000000/H42))</f>
        <v>0</v>
      </c>
      <c r="I247" s="457"/>
      <c r="J247" s="435" t="str">
        <f>IF(J42="0","0",(K42*1000000/J42))</f>
        <v>0</v>
      </c>
      <c r="K247" s="458"/>
      <c r="L247" s="435" t="str">
        <f>IF(L42="0","0",(M42*1000000/L42))</f>
        <v>0</v>
      </c>
      <c r="M247" s="447"/>
      <c r="N247" s="435" t="str">
        <f>IF(N42="0","0",(O42*1000000/N42))</f>
        <v>0</v>
      </c>
      <c r="O247" s="447"/>
      <c r="P247" s="435" t="str">
        <f>IF(P42="0","0",(Q42*1000000/P42))</f>
        <v>0</v>
      </c>
      <c r="Q247" s="447"/>
      <c r="R247" s="435" t="str">
        <f>IF(R42="0","0",(S42*1000000/R42))</f>
        <v>0</v>
      </c>
      <c r="T247" s="435" t="str">
        <f>IF(T42="0","0",(U42*1000000/T42))</f>
        <v>0</v>
      </c>
      <c r="V247" s="435" t="str">
        <f>IF(V42="0","0",(W42*1000000/V42))</f>
        <v>0</v>
      </c>
      <c r="X247" s="435" t="str">
        <f>IF(X42="0","0",(Y42*1000000/X42))</f>
        <v>0</v>
      </c>
      <c r="AA247" s="120" t="s">
        <v>573</v>
      </c>
      <c r="AB247" s="120" t="s">
        <v>486</v>
      </c>
      <c r="AC247" s="397">
        <v>104</v>
      </c>
      <c r="AD247" s="397">
        <v>141922</v>
      </c>
      <c r="AE247" s="397">
        <v>1370</v>
      </c>
      <c r="AF247" s="398">
        <v>4.2086009368009526E-2</v>
      </c>
      <c r="AG247" s="398">
        <v>0.45062065616399899</v>
      </c>
    </row>
    <row r="248" spans="1:33" x14ac:dyDescent="0.45">
      <c r="A248" s="120" t="str">
        <f>MKT!$A$21</f>
        <v xml:space="preserve"> </v>
      </c>
      <c r="C248" s="425" t="s">
        <v>211</v>
      </c>
      <c r="D248" s="424"/>
      <c r="F248" s="427">
        <f>ROUNDUP((F247*$B$5/$B$7/$B$8),0)</f>
        <v>0</v>
      </c>
      <c r="G248" s="422"/>
      <c r="H248" s="427">
        <f>ROUNDUP((H247*$B$5/$B$7/$B$8),0)</f>
        <v>0</v>
      </c>
      <c r="I248" s="459"/>
      <c r="J248" s="427">
        <f>ROUNDUP((J247*$B$5/$B$7/$B$8),0)</f>
        <v>0</v>
      </c>
      <c r="K248" s="460"/>
      <c r="L248" s="431">
        <f>ROUNDUP((L247*$B$5/$B$7/$B$8),0)</f>
        <v>0</v>
      </c>
      <c r="M248" s="461"/>
      <c r="N248" s="431">
        <f>ROUNDUP((N247*$B$5/$B$7/$B$8),0)</f>
        <v>0</v>
      </c>
      <c r="O248" s="461"/>
      <c r="P248" s="431">
        <f>ROUNDUP((P247*$B$5/$B$7/$B$8),0)</f>
        <v>0</v>
      </c>
      <c r="Q248" s="461"/>
      <c r="R248" s="431">
        <f>ROUNDUP((R247*$B$5/$B$7/$B$8),0)</f>
        <v>0</v>
      </c>
      <c r="S248" s="46"/>
      <c r="T248" s="431">
        <f>ROUNDUP((T247*$B$5/$B$7/$B$8),0)</f>
        <v>0</v>
      </c>
      <c r="U248" s="46"/>
      <c r="V248" s="431">
        <f>ROUNDUP((V247*$B$5/$B$7/$B$8),0)</f>
        <v>0</v>
      </c>
      <c r="W248" s="46"/>
      <c r="X248" s="431">
        <f>ROUNDUP((X247*$B$5/$B$7/$B$8),0)</f>
        <v>0</v>
      </c>
      <c r="AA248" s="120" t="s">
        <v>574</v>
      </c>
      <c r="AB248" s="120" t="s">
        <v>483</v>
      </c>
      <c r="AC248" s="397">
        <v>136</v>
      </c>
      <c r="AD248" s="397">
        <v>180585</v>
      </c>
      <c r="AE248" s="397">
        <v>1324</v>
      </c>
      <c r="AF248" s="398">
        <v>4.2646277307912546E-2</v>
      </c>
      <c r="AG248" s="398">
        <v>0.45332415365303314</v>
      </c>
    </row>
    <row r="249" spans="1:33" x14ac:dyDescent="0.45">
      <c r="A249" s="120" t="str">
        <f>MKT!$A$21</f>
        <v xml:space="preserve"> </v>
      </c>
      <c r="C249" s="425" t="s">
        <v>212</v>
      </c>
      <c r="D249" s="424"/>
      <c r="F249" s="427">
        <f>IF(F42="",0,IF(F248&lt;($C$4+1),0,ROUNDUP((F248-$C$4)/$D$4,0)))</f>
        <v>0</v>
      </c>
      <c r="H249" s="427">
        <f>IF(H42="",0,IF(H248&lt;($C$4+1),0,ROUNDUP((H248-$C$4)/$D$4,0)))</f>
        <v>0</v>
      </c>
      <c r="I249" s="457"/>
      <c r="J249" s="427">
        <f>IF(J42="",0,IF(J248&lt;($C$4+1),0,ROUNDUP((J248-$C$4)/$D$4,0)))</f>
        <v>0</v>
      </c>
      <c r="K249" s="458"/>
      <c r="L249" s="431">
        <f>IF(L42="",0,IF(L248&lt;($C$4+1),0,ROUNDUP((L248-$C$4)/$D$4,0)))</f>
        <v>0</v>
      </c>
      <c r="M249" s="447"/>
      <c r="N249" s="431">
        <f>IF(N42="",0,IF(N248&lt;($C$4+1),0,ROUNDUP((N248-$C$4)/$D$4,0)))</f>
        <v>0</v>
      </c>
      <c r="O249" s="447"/>
      <c r="P249" s="431">
        <f>IF(P42="",0,IF(P248&lt;($C$4+1),0,ROUNDUP((P248-$C$4)/$D$4,0)))</f>
        <v>0</v>
      </c>
      <c r="Q249" s="447"/>
      <c r="R249" s="431">
        <f>IF(R42="",0,IF(R248&lt;($C$4+1),0,ROUNDUP((R248-$C$4)/$D$4,0)))</f>
        <v>0</v>
      </c>
      <c r="T249" s="431">
        <f>IF(T42="",0,IF(T248&lt;($C$4+1),0,ROUNDUP((T248-$C$4)/$D$4,0)))</f>
        <v>0</v>
      </c>
      <c r="V249" s="431">
        <f>IF(V42="",0,IF(V248&lt;($C$4+1),0,ROUNDUP((V248-$C$4)/$D$4,0)))</f>
        <v>0</v>
      </c>
      <c r="X249" s="431">
        <f>IF(X42="",0,IF(X248&lt;($C$4+1),0,ROUNDUP((X248-$C$4)/$D$4,0)))</f>
        <v>0</v>
      </c>
      <c r="AA249" s="120" t="s">
        <v>575</v>
      </c>
      <c r="AB249" s="120" t="s">
        <v>486</v>
      </c>
      <c r="AC249" s="397">
        <v>79</v>
      </c>
      <c r="AD249" s="397">
        <v>100762</v>
      </c>
      <c r="AE249" s="397">
        <v>1277</v>
      </c>
      <c r="AF249" s="398">
        <v>4.2971727067120921E-2</v>
      </c>
      <c r="AG249" s="398">
        <v>0.45483263893137887</v>
      </c>
    </row>
    <row r="250" spans="1:33" x14ac:dyDescent="0.45">
      <c r="A250" s="120" t="str">
        <f>MKT!$A$21</f>
        <v xml:space="preserve"> </v>
      </c>
      <c r="C250" s="425" t="s">
        <v>213</v>
      </c>
      <c r="D250" s="46"/>
      <c r="F250" s="427">
        <f>IF(F249&gt;0,(F249-1)*F42,0)</f>
        <v>0</v>
      </c>
      <c r="H250" s="427">
        <f>(H249-F249)*H42</f>
        <v>0</v>
      </c>
      <c r="I250" s="457"/>
      <c r="J250" s="427">
        <f>(J249-H249)*J42</f>
        <v>0</v>
      </c>
      <c r="K250" s="458"/>
      <c r="L250" s="431">
        <f>(L249-J249)*L42</f>
        <v>0</v>
      </c>
      <c r="M250" s="447"/>
      <c r="N250" s="431">
        <f>(N249-L249)*N42</f>
        <v>0</v>
      </c>
      <c r="O250" s="447"/>
      <c r="P250" s="431">
        <f>(P249-N249)*P42</f>
        <v>0</v>
      </c>
      <c r="Q250" s="447"/>
      <c r="R250" s="431">
        <f>(R249-P249)*R42</f>
        <v>0</v>
      </c>
      <c r="T250" s="431">
        <f>(T249-R249)*T42</f>
        <v>0</v>
      </c>
      <c r="V250" s="431">
        <f>(V249-T249)*V42</f>
        <v>0</v>
      </c>
      <c r="X250" s="431">
        <f>(X249-V249)*X42</f>
        <v>0</v>
      </c>
      <c r="AA250" s="120" t="s">
        <v>576</v>
      </c>
      <c r="AB250" s="120" t="s">
        <v>499</v>
      </c>
      <c r="AC250" s="397">
        <v>186</v>
      </c>
      <c r="AD250" s="397">
        <v>228670</v>
      </c>
      <c r="AE250" s="397">
        <v>1232</v>
      </c>
      <c r="AF250" s="398">
        <v>4.3737975867282411E-2</v>
      </c>
      <c r="AG250" s="398">
        <v>0.45825600615909678</v>
      </c>
    </row>
    <row r="251" spans="1:33" x14ac:dyDescent="0.45">
      <c r="F251" s="427"/>
      <c r="H251" s="427"/>
      <c r="J251" s="427"/>
      <c r="K251" s="458"/>
      <c r="L251" s="431"/>
      <c r="M251" s="447"/>
      <c r="N251" s="431"/>
      <c r="O251" s="447"/>
      <c r="P251" s="431"/>
      <c r="Q251" s="447"/>
      <c r="R251" s="431"/>
      <c r="T251" s="431"/>
      <c r="V251" s="431"/>
      <c r="X251" s="431"/>
      <c r="AA251" s="120" t="s">
        <v>577</v>
      </c>
      <c r="AB251" s="120" t="s">
        <v>483</v>
      </c>
      <c r="AC251" s="397">
        <v>178</v>
      </c>
      <c r="AD251" s="397">
        <v>216374</v>
      </c>
      <c r="AE251" s="397">
        <v>1214</v>
      </c>
      <c r="AF251" s="398">
        <v>4.4471267729802547E-2</v>
      </c>
      <c r="AG251" s="398">
        <v>0.46149529273158224</v>
      </c>
    </row>
    <row r="252" spans="1:33" x14ac:dyDescent="0.45">
      <c r="A252" s="120" t="str">
        <f>MKT!$A$22</f>
        <v xml:space="preserve"> </v>
      </c>
      <c r="C252" s="425" t="s">
        <v>214</v>
      </c>
      <c r="F252" s="435" t="str">
        <f>IF(F43="0","0",(G43*1000000/F43))</f>
        <v>0</v>
      </c>
      <c r="H252" s="435" t="str">
        <f>IF(H43="0","0",(I43*1000000/H43))</f>
        <v>0</v>
      </c>
      <c r="J252" s="435" t="str">
        <f>IF(J43="0","0",(K43*1000000/J43))</f>
        <v>0</v>
      </c>
      <c r="K252" s="458"/>
      <c r="L252" s="435" t="str">
        <f>IF(L43="0","0",(M43*1000000/L43))</f>
        <v>0</v>
      </c>
      <c r="M252" s="447"/>
      <c r="N252" s="435" t="str">
        <f>IF(N43="0","0",(O43*1000000/N43))</f>
        <v>0</v>
      </c>
      <c r="O252" s="447"/>
      <c r="P252" s="435" t="str">
        <f>IF(P43="0","0",(Q43*1000000/P43))</f>
        <v>0</v>
      </c>
      <c r="Q252" s="447"/>
      <c r="R252" s="435" t="str">
        <f>IF(R43="0","0",(S43*1000000/R43))</f>
        <v>0</v>
      </c>
      <c r="T252" s="435" t="str">
        <f>IF(T43="0","0",(U43*1000000/T43))</f>
        <v>0</v>
      </c>
      <c r="V252" s="435" t="str">
        <f>IF(V43="0","0",(W43*1000000/V43))</f>
        <v>0</v>
      </c>
      <c r="X252" s="435" t="str">
        <f>IF(X43="0","0",(Y43*1000000/X43))</f>
        <v>0</v>
      </c>
      <c r="AA252" s="120" t="s">
        <v>578</v>
      </c>
      <c r="AB252" s="120" t="s">
        <v>486</v>
      </c>
      <c r="AC252" s="397">
        <v>110</v>
      </c>
      <c r="AD252" s="397">
        <v>127918</v>
      </c>
      <c r="AE252" s="397">
        <v>1168</v>
      </c>
      <c r="AF252" s="398">
        <v>4.4924425622371172E-2</v>
      </c>
      <c r="AG252" s="398">
        <v>0.46341032438870916</v>
      </c>
    </row>
    <row r="253" spans="1:33" x14ac:dyDescent="0.45">
      <c r="A253" s="120" t="str">
        <f>MKT!$A$22</f>
        <v xml:space="preserve"> </v>
      </c>
      <c r="C253" s="425" t="s">
        <v>211</v>
      </c>
      <c r="F253" s="427">
        <f>ROUNDUP((F252*$B$5/$B$7/$B$8),0)</f>
        <v>0</v>
      </c>
      <c r="G253" s="422"/>
      <c r="H253" s="427">
        <f>ROUNDUP((H252*$B$5/$B$7/$B$8),0)</f>
        <v>0</v>
      </c>
      <c r="I253" s="422"/>
      <c r="J253" s="427">
        <f>ROUNDUP((J252*$B$5/$B$7/$B$8),0)</f>
        <v>0</v>
      </c>
      <c r="K253" s="421"/>
      <c r="L253" s="431">
        <f>ROUNDUP((L252*$B$5/$B$7/$B$8),0)</f>
        <v>0</v>
      </c>
      <c r="M253" s="46"/>
      <c r="N253" s="431">
        <f>ROUNDUP((N252*$B$5/$B$7/$B$8),0)</f>
        <v>0</v>
      </c>
      <c r="O253" s="46"/>
      <c r="P253" s="431">
        <f>ROUNDUP((P252*$B$5/$B$7/$B$8),0)</f>
        <v>0</v>
      </c>
      <c r="Q253" s="46"/>
      <c r="R253" s="431">
        <f>ROUNDUP((R252*$B$5/$B$7/$B$8),0)</f>
        <v>0</v>
      </c>
      <c r="S253" s="46"/>
      <c r="T253" s="431">
        <f>ROUNDUP((T252*$B$5/$B$7/$B$8),0)</f>
        <v>0</v>
      </c>
      <c r="U253" s="46"/>
      <c r="V253" s="431">
        <f>ROUNDUP((V252*$B$5/$B$7/$B$8),0)</f>
        <v>0</v>
      </c>
      <c r="W253" s="46"/>
      <c r="X253" s="431">
        <f>ROUNDUP((X252*$B$5/$B$7/$B$8),0)</f>
        <v>0</v>
      </c>
      <c r="AA253" s="120" t="s">
        <v>579</v>
      </c>
      <c r="AB253" s="120" t="s">
        <v>478</v>
      </c>
      <c r="AC253" s="397">
        <v>181</v>
      </c>
      <c r="AD253" s="397">
        <v>210014</v>
      </c>
      <c r="AE253" s="397">
        <v>1163</v>
      </c>
      <c r="AF253" s="398">
        <v>4.5670076336506812E-2</v>
      </c>
      <c r="AG253" s="398">
        <v>0.46655439682917776</v>
      </c>
    </row>
    <row r="254" spans="1:33" x14ac:dyDescent="0.45">
      <c r="A254" s="120" t="str">
        <f>MKT!$A$22</f>
        <v xml:space="preserve"> </v>
      </c>
      <c r="C254" s="425" t="s">
        <v>212</v>
      </c>
      <c r="F254" s="427">
        <f>IF(F43="",0,IF(F253&lt;($C$4+1),0,ROUNDUP((F253-$C$4)/$D$4,0)))</f>
        <v>0</v>
      </c>
      <c r="H254" s="427">
        <f>IF(H43="",0,IF(H253&lt;($C$4+1),0,ROUNDUP((H253-$C$4)/$D$4,0)))</f>
        <v>0</v>
      </c>
      <c r="J254" s="427">
        <f>IF(J43="",0,IF(J253&lt;($C$4+1),0,ROUNDUP((J253-$C$4)/$D$4,0)))</f>
        <v>0</v>
      </c>
      <c r="L254" s="431">
        <f>IF(L43="",0,IF(L253&lt;($C$4+1),0,ROUNDUP((L253-$C$4)/$D$4,0)))</f>
        <v>0</v>
      </c>
      <c r="N254" s="431">
        <f>IF(N43="",0,IF(N253&lt;($C$4+1),0,ROUNDUP((N253-$C$4)/$D$4,0)))</f>
        <v>0</v>
      </c>
      <c r="P254" s="431">
        <f>IF(P43="",0,IF(P253&lt;($C$4+1),0,ROUNDUP((P253-$C$4)/$D$4,0)))</f>
        <v>0</v>
      </c>
      <c r="R254" s="431">
        <f>IF(R43="",0,IF(R253&lt;($C$4+1),0,ROUNDUP((R253-$C$4)/$D$4,0)))</f>
        <v>0</v>
      </c>
      <c r="T254" s="431">
        <f>IF(T43="",0,IF(T253&lt;($C$4+1),0,ROUNDUP((T253-$C$4)/$D$4,0)))</f>
        <v>0</v>
      </c>
      <c r="V254" s="431">
        <f>IF(V43="",0,IF(V253&lt;($C$4+1),0,ROUNDUP((V253-$C$4)/$D$4,0)))</f>
        <v>0</v>
      </c>
      <c r="X254" s="431">
        <f>IF(X43="",0,IF(X253&lt;($C$4+1),0,ROUNDUP((X253-$C$4)/$D$4,0)))</f>
        <v>0</v>
      </c>
      <c r="AA254" s="120" t="s">
        <v>580</v>
      </c>
      <c r="AB254" s="120" t="s">
        <v>486</v>
      </c>
      <c r="AC254" s="397">
        <v>129</v>
      </c>
      <c r="AD254" s="397">
        <v>148748</v>
      </c>
      <c r="AE254" s="397">
        <v>1152</v>
      </c>
      <c r="AF254" s="398">
        <v>4.6201506955973651E-2</v>
      </c>
      <c r="AG254" s="398">
        <v>0.46878126973943529</v>
      </c>
    </row>
    <row r="255" spans="1:33" x14ac:dyDescent="0.45">
      <c r="A255" s="120" t="str">
        <f>MKT!$A$22</f>
        <v xml:space="preserve"> </v>
      </c>
      <c r="C255" s="425" t="s">
        <v>213</v>
      </c>
      <c r="D255" s="46"/>
      <c r="F255" s="427">
        <f>IF(F254&gt;0,(F254-1)*F43,0)</f>
        <v>0</v>
      </c>
      <c r="H255" s="427">
        <f>(H254-F254)*H43</f>
        <v>0</v>
      </c>
      <c r="J255" s="427">
        <f>(J254-H254)*J43</f>
        <v>0</v>
      </c>
      <c r="L255" s="431">
        <f>(L254-J254)*L43</f>
        <v>0</v>
      </c>
      <c r="N255" s="431">
        <f>(N254-L254)*N43</f>
        <v>0</v>
      </c>
      <c r="P255" s="431">
        <f>(P254-N254)*P43</f>
        <v>0</v>
      </c>
      <c r="R255" s="431">
        <f>(R254-P254)*R43</f>
        <v>0</v>
      </c>
      <c r="T255" s="431">
        <f>(T254-R254)*T43</f>
        <v>0</v>
      </c>
      <c r="V255" s="431">
        <f>(V254-T254)*V43</f>
        <v>0</v>
      </c>
      <c r="X255" s="431">
        <f>(X254-V254)*X43</f>
        <v>0</v>
      </c>
      <c r="AA255" s="120" t="s">
        <v>581</v>
      </c>
      <c r="AB255" s="120" t="s">
        <v>486</v>
      </c>
      <c r="AC255" s="397">
        <v>78</v>
      </c>
      <c r="AD255" s="397">
        <v>89424</v>
      </c>
      <c r="AE255" s="397">
        <v>1146</v>
      </c>
      <c r="AF255" s="398">
        <v>4.6522837097976853E-2</v>
      </c>
      <c r="AG255" s="398">
        <v>0.47012001636545292</v>
      </c>
    </row>
    <row r="256" spans="1:33" x14ac:dyDescent="0.45">
      <c r="D256" s="46"/>
      <c r="F256" s="427"/>
      <c r="H256" s="427"/>
      <c r="J256" s="427"/>
      <c r="L256" s="431"/>
      <c r="N256" s="431"/>
      <c r="P256" s="431"/>
      <c r="R256" s="431"/>
      <c r="T256" s="431"/>
      <c r="V256" s="431"/>
      <c r="X256" s="431"/>
      <c r="AA256" s="120" t="s">
        <v>582</v>
      </c>
      <c r="AB256" s="120" t="s">
        <v>478</v>
      </c>
      <c r="AC256" s="397">
        <v>109</v>
      </c>
      <c r="AD256" s="397">
        <v>122549</v>
      </c>
      <c r="AE256" s="397">
        <v>1120</v>
      </c>
      <c r="AF256" s="398">
        <v>4.6971875373340306E-2</v>
      </c>
      <c r="AG256" s="398">
        <v>0.47195466992905816</v>
      </c>
    </row>
    <row r="257" spans="1:33" x14ac:dyDescent="0.45">
      <c r="A257" s="120" t="str">
        <f>MKT!$A$23</f>
        <v>SELECTED 'x' TOTAL</v>
      </c>
      <c r="C257" s="425" t="s">
        <v>214</v>
      </c>
      <c r="D257" s="46"/>
      <c r="F257" s="435">
        <f>IF(F44="0","0",(G44*1000000/F44))</f>
        <v>197.93605757756569</v>
      </c>
      <c r="H257" s="435">
        <f>IF(H44="0","0",(I44*1000000/H44))</f>
        <v>743.21529882905747</v>
      </c>
      <c r="J257" s="435">
        <f>IF(J44="0","0",(K44*1000000/J44))</f>
        <v>2021.8522580030703</v>
      </c>
      <c r="L257" s="435">
        <f>IF(L44="0","0",(M44*1000000/L44))</f>
        <v>6672.642005115179</v>
      </c>
      <c r="N257" s="435">
        <f>IF(N44="0","0",(O44*1000000/N44))</f>
        <v>15084.293230779211</v>
      </c>
      <c r="P257" s="435">
        <f>IF(P44="0","0",(Q44*1000000/P44))</f>
        <v>18395.867045095798</v>
      </c>
      <c r="R257" s="435">
        <f>IF(R44="0","0",(S44*1000000/R44))</f>
        <v>22096.608863591358</v>
      </c>
      <c r="T257" s="435">
        <f>IF(T44="0","0",(U44*1000000/T44))</f>
        <v>23640.310726685435</v>
      </c>
      <c r="V257" s="435">
        <f>IF(V44="0","0",(W44*1000000/V44))</f>
        <v>25292.013565806312</v>
      </c>
      <c r="X257" s="435">
        <f>IF(X44="0","0",(Y44*1000000/X44))</f>
        <v>27059.276344342459</v>
      </c>
      <c r="AA257" s="120" t="s">
        <v>583</v>
      </c>
      <c r="AB257" s="120" t="s">
        <v>486</v>
      </c>
      <c r="AC257" s="397">
        <v>73</v>
      </c>
      <c r="AD257" s="397">
        <v>81043</v>
      </c>
      <c r="AE257" s="397">
        <v>1110</v>
      </c>
      <c r="AF257" s="398">
        <v>4.7272607429317666E-2</v>
      </c>
      <c r="AG257" s="398">
        <v>0.47316794648582527</v>
      </c>
    </row>
    <row r="258" spans="1:33" x14ac:dyDescent="0.45">
      <c r="A258" s="120" t="str">
        <f>MKT!$A$23</f>
        <v>SELECTED 'x' TOTAL</v>
      </c>
      <c r="C258" s="425" t="s">
        <v>211</v>
      </c>
      <c r="D258" s="46"/>
      <c r="F258" s="427">
        <f>ROUNDUP((F257*$B$5/$B$7/$B$8),0)</f>
        <v>2</v>
      </c>
      <c r="G258" s="422"/>
      <c r="H258" s="427">
        <f>ROUNDUP((H257*$B$5/$B$7/$B$8),0)</f>
        <v>5</v>
      </c>
      <c r="I258" s="422"/>
      <c r="J258" s="427">
        <f>ROUNDUP((J257*$B$5/$B$7/$B$8),0)</f>
        <v>12</v>
      </c>
      <c r="K258" s="421"/>
      <c r="L258" s="431">
        <f>ROUNDUP((L257*$B$5/$B$7/$B$8),0)</f>
        <v>40</v>
      </c>
      <c r="M258" s="46"/>
      <c r="N258" s="431">
        <f>ROUNDUP((N257*$B$5/$B$7/$B$8),0)</f>
        <v>90</v>
      </c>
      <c r="O258" s="46"/>
      <c r="P258" s="431">
        <f>ROUNDUP((P257*$B$5/$B$7/$B$8),0)</f>
        <v>109</v>
      </c>
      <c r="Q258" s="46"/>
      <c r="R258" s="431">
        <f>ROUNDUP((R257*$B$5/$B$7/$B$8),0)</f>
        <v>131</v>
      </c>
      <c r="S258" s="46"/>
      <c r="T258" s="431">
        <f>ROUNDUP((T257*$B$5/$B$7/$B$8),0)</f>
        <v>140</v>
      </c>
      <c r="U258" s="46"/>
      <c r="V258" s="431">
        <f>ROUNDUP((V257*$B$5/$B$7/$B$8),0)</f>
        <v>150</v>
      </c>
      <c r="W258" s="46"/>
      <c r="X258" s="431">
        <f>ROUNDUP((X257*$B$5/$B$7/$B$8),0)</f>
        <v>161</v>
      </c>
      <c r="AA258" s="120" t="s">
        <v>584</v>
      </c>
      <c r="AB258" s="120" t="s">
        <v>478</v>
      </c>
      <c r="AC258" s="397">
        <v>137</v>
      </c>
      <c r="AD258" s="397">
        <v>149696</v>
      </c>
      <c r="AE258" s="397">
        <v>1092</v>
      </c>
      <c r="AF258" s="398">
        <v>4.7836994986425858E-2</v>
      </c>
      <c r="AG258" s="398">
        <v>0.47540901169123251</v>
      </c>
    </row>
    <row r="259" spans="1:33" x14ac:dyDescent="0.45">
      <c r="A259" s="120" t="str">
        <f>MKT!$A$23</f>
        <v>SELECTED 'x' TOTAL</v>
      </c>
      <c r="C259" s="425" t="s">
        <v>212</v>
      </c>
      <c r="D259" s="46"/>
      <c r="F259" s="427">
        <f>IF(F44="",0,IF(F258&lt;($C$4+1),0,ROUNDUP((F258-$C$4)/$D$4,0)))</f>
        <v>0</v>
      </c>
      <c r="H259" s="427">
        <f>IF(H44="",0,IF(H258&lt;($C$4+1),0,ROUNDUP((H258-$C$4)/$D$4,0)))</f>
        <v>0</v>
      </c>
      <c r="J259" s="427">
        <f>IF(J44="",0,IF(J258&lt;($C$4+1),0,ROUNDUP((J258-$C$4)/$D$4,0)))</f>
        <v>0</v>
      </c>
      <c r="L259" s="427">
        <f>IF(L44="",0,IF(L258&lt;($C$4+1),0,ROUNDUP((L258-$C$4)/$D$4,0)))</f>
        <v>2</v>
      </c>
      <c r="N259" s="427">
        <f>IF(N44="",0,IF(N258&lt;($C$4+1),0,ROUNDUP((N258-$C$4)/$D$4,0)))</f>
        <v>4</v>
      </c>
      <c r="P259" s="427">
        <f>IF(P44="",0,IF(P258&lt;($C$4+1),0,ROUNDUP((P258-$C$4)/$D$4,0)))</f>
        <v>5</v>
      </c>
      <c r="R259" s="427">
        <f>IF(R44="",0,IF(R258&lt;($C$4+1),0,ROUNDUP((R258-$C$4)/$D$4,0)))</f>
        <v>6</v>
      </c>
      <c r="T259" s="427">
        <f>IF(T44="",0,IF(T258&lt;($C$4+1),0,ROUNDUP((T258-$C$4)/$D$4,0)))</f>
        <v>6</v>
      </c>
      <c r="V259" s="427">
        <f>IF(V44="",0,IF(V258&lt;($C$4+1),0,ROUNDUP((V258-$C$4)/$D$4,0)))</f>
        <v>7</v>
      </c>
      <c r="X259" s="427">
        <f>IF(X44="",0,IF(X258&lt;($C$4+1),0,ROUNDUP((X258-$C$4)/$D$4,0)))</f>
        <v>7</v>
      </c>
      <c r="AA259" s="120" t="s">
        <v>585</v>
      </c>
      <c r="AB259" s="120" t="s">
        <v>486</v>
      </c>
      <c r="AC259" s="397">
        <v>99</v>
      </c>
      <c r="AD259" s="397">
        <v>106939</v>
      </c>
      <c r="AE259" s="397">
        <v>1080</v>
      </c>
      <c r="AF259" s="398">
        <v>4.8244837089737619E-2</v>
      </c>
      <c r="AG259" s="398">
        <v>0.47700997144968321</v>
      </c>
    </row>
    <row r="260" spans="1:33" x14ac:dyDescent="0.45">
      <c r="A260" s="120" t="str">
        <f>MKT!$A$23</f>
        <v>SELECTED 'x' TOTAL</v>
      </c>
      <c r="C260" s="425" t="s">
        <v>213</v>
      </c>
      <c r="D260" s="46"/>
      <c r="F260" s="427">
        <f>IF(F259&gt;0,(F259-1)*F44,0)</f>
        <v>0</v>
      </c>
      <c r="H260" s="427">
        <f>IF(H259&gt;0,(H259-1)*H44,0)</f>
        <v>0</v>
      </c>
      <c r="J260" s="427">
        <f>IF(J259&gt;0,(J259-1)*J44,0)</f>
        <v>0</v>
      </c>
      <c r="L260" s="427">
        <f>IF(L259&gt;0,(L259-1)*L44,0)</f>
        <v>28156.799999999996</v>
      </c>
      <c r="N260" s="427">
        <f>IF(N259&gt;0,(N259-1)*N44,0)</f>
        <v>105588</v>
      </c>
      <c r="P260" s="427">
        <f>IF(P259&gt;0,(P259-1)*P44,0)</f>
        <v>168940.79999999999</v>
      </c>
      <c r="R260" s="427">
        <f>IF(R259&gt;0,(R259-1)*R44,0)</f>
        <v>246372.00000000006</v>
      </c>
      <c r="T260" s="427">
        <f>IF(T259&gt;0,(T259-1)*T44,0)</f>
        <v>281567.99999999994</v>
      </c>
      <c r="V260" s="427">
        <f>IF(V259&gt;0,(V259-1)*V44,0)</f>
        <v>380116.80000000005</v>
      </c>
      <c r="X260" s="427">
        <f>IF(X259&gt;0,(X259-1)*X44,0)</f>
        <v>422352</v>
      </c>
      <c r="AA260" s="120" t="s">
        <v>586</v>
      </c>
      <c r="AB260" s="120" t="s">
        <v>483</v>
      </c>
      <c r="AC260" s="397">
        <v>409</v>
      </c>
      <c r="AD260" s="397">
        <v>439787</v>
      </c>
      <c r="AE260" s="397">
        <v>1076</v>
      </c>
      <c r="AF260" s="398">
        <v>4.9929760526651865E-2</v>
      </c>
      <c r="AG260" s="398">
        <v>0.48359392388321792</v>
      </c>
    </row>
    <row r="261" spans="1:33" x14ac:dyDescent="0.45">
      <c r="C261" s="426"/>
      <c r="D261" s="424"/>
      <c r="AA261" s="120" t="s">
        <v>587</v>
      </c>
      <c r="AB261" s="120" t="s">
        <v>478</v>
      </c>
      <c r="AC261" s="397">
        <v>164</v>
      </c>
      <c r="AD261" s="397">
        <v>174341</v>
      </c>
      <c r="AE261" s="397">
        <v>1064</v>
      </c>
      <c r="AF261" s="398">
        <v>5.0605377748299631E-2</v>
      </c>
      <c r="AG261" s="398">
        <v>0.48620394385019033</v>
      </c>
    </row>
    <row r="262" spans="1:33" x14ac:dyDescent="0.45">
      <c r="D262" s="424"/>
      <c r="AA262" s="120" t="s">
        <v>588</v>
      </c>
      <c r="AB262" s="120" t="s">
        <v>486</v>
      </c>
      <c r="AC262" s="397">
        <v>110</v>
      </c>
      <c r="AD262" s="397">
        <v>115371</v>
      </c>
      <c r="AE262" s="397">
        <v>1052</v>
      </c>
      <c r="AF262" s="398">
        <v>5.1058535640868249E-2</v>
      </c>
      <c r="AG262" s="398">
        <v>0.48793113718744069</v>
      </c>
    </row>
    <row r="263" spans="1:33" x14ac:dyDescent="0.45">
      <c r="D263" s="424"/>
      <c r="AA263" s="120" t="s">
        <v>589</v>
      </c>
      <c r="AB263" s="120" t="s">
        <v>486</v>
      </c>
      <c r="AC263" s="397">
        <v>89</v>
      </c>
      <c r="AD263" s="397">
        <v>93323</v>
      </c>
      <c r="AE263" s="397">
        <v>1051</v>
      </c>
      <c r="AF263" s="398">
        <v>5.1425181572128317E-2</v>
      </c>
      <c r="AG263" s="398">
        <v>0.4893282548670328</v>
      </c>
    </row>
    <row r="264" spans="1:33" x14ac:dyDescent="0.45">
      <c r="D264" s="424"/>
      <c r="AA264" s="120" t="s">
        <v>590</v>
      </c>
      <c r="AB264" s="120" t="s">
        <v>486</v>
      </c>
      <c r="AC264" s="397">
        <v>101</v>
      </c>
      <c r="AD264" s="397">
        <v>104919</v>
      </c>
      <c r="AE264" s="397">
        <v>1037</v>
      </c>
      <c r="AF264" s="398">
        <v>5.1841262909850416E-2</v>
      </c>
      <c r="AG264" s="398">
        <v>0.49089897365902535</v>
      </c>
    </row>
    <row r="265" spans="1:33" x14ac:dyDescent="0.45">
      <c r="D265" s="424"/>
      <c r="AA265" s="120" t="s">
        <v>591</v>
      </c>
      <c r="AB265" s="120" t="s">
        <v>483</v>
      </c>
      <c r="AC265" s="397">
        <v>339</v>
      </c>
      <c r="AD265" s="397">
        <v>348312</v>
      </c>
      <c r="AE265" s="397">
        <v>1029</v>
      </c>
      <c r="AF265" s="398">
        <v>5.3237813142402807E-2</v>
      </c>
      <c r="AG265" s="398">
        <v>0.49611347440604459</v>
      </c>
    </row>
    <row r="266" spans="1:33" x14ac:dyDescent="0.45">
      <c r="D266" s="424"/>
      <c r="AA266" s="120" t="s">
        <v>592</v>
      </c>
      <c r="AB266" s="120" t="s">
        <v>486</v>
      </c>
      <c r="AC266" s="397">
        <v>142</v>
      </c>
      <c r="AD266" s="397">
        <v>143135</v>
      </c>
      <c r="AE266" s="397">
        <v>1006</v>
      </c>
      <c r="AF266" s="398">
        <v>5.3822798785536849E-2</v>
      </c>
      <c r="AG266" s="398">
        <v>0.4982563163535646</v>
      </c>
    </row>
    <row r="267" spans="1:33" x14ac:dyDescent="0.45">
      <c r="A267" s="462"/>
      <c r="B267" s="463"/>
      <c r="C267" s="463"/>
      <c r="D267" s="463"/>
      <c r="E267" s="463"/>
      <c r="F267" s="463"/>
      <c r="G267" s="464"/>
      <c r="H267" s="464"/>
      <c r="I267" s="464"/>
      <c r="J267" s="464"/>
      <c r="K267" s="465"/>
      <c r="L267" s="466"/>
      <c r="AA267" s="120" t="s">
        <v>593</v>
      </c>
      <c r="AB267" s="120" t="s">
        <v>478</v>
      </c>
      <c r="AC267" s="397">
        <v>94</v>
      </c>
      <c r="AD267" s="397">
        <v>93663</v>
      </c>
      <c r="AE267" s="467">
        <v>999</v>
      </c>
      <c r="AF267" s="398">
        <v>5.421004280282276E-2</v>
      </c>
      <c r="AG267" s="468">
        <v>0.49965852409681799</v>
      </c>
    </row>
    <row r="268" spans="1:33" x14ac:dyDescent="0.45">
      <c r="A268" s="469"/>
      <c r="B268" s="470"/>
      <c r="C268" s="471"/>
      <c r="D268" s="471"/>
      <c r="E268" s="471"/>
      <c r="F268" s="471"/>
      <c r="G268" s="471"/>
      <c r="H268" s="471"/>
      <c r="I268" s="471"/>
      <c r="J268" s="471"/>
      <c r="K268" s="471"/>
      <c r="AA268" s="120" t="s">
        <v>594</v>
      </c>
      <c r="AB268" s="120" t="s">
        <v>486</v>
      </c>
      <c r="AC268" s="397">
        <v>120</v>
      </c>
      <c r="AD268" s="397">
        <v>117896</v>
      </c>
      <c r="AE268" s="397">
        <v>983</v>
      </c>
      <c r="AF268" s="398">
        <v>5.4704396867443078E-2</v>
      </c>
      <c r="AG268" s="398">
        <v>0.50142351864214108</v>
      </c>
    </row>
    <row r="269" spans="1:33" x14ac:dyDescent="0.45">
      <c r="A269" s="472"/>
      <c r="B269" s="472"/>
      <c r="C269" s="473"/>
      <c r="D269" s="473"/>
      <c r="E269" s="473"/>
      <c r="F269" s="474"/>
      <c r="G269" s="474"/>
      <c r="H269" s="474"/>
      <c r="I269" s="474"/>
      <c r="J269" s="474"/>
      <c r="K269" s="475"/>
      <c r="AA269" s="120" t="s">
        <v>595</v>
      </c>
      <c r="AB269" s="120" t="s">
        <v>486</v>
      </c>
      <c r="AC269" s="397">
        <v>113</v>
      </c>
      <c r="AD269" s="397">
        <v>110788</v>
      </c>
      <c r="AE269" s="397">
        <v>979</v>
      </c>
      <c r="AF269" s="398">
        <v>5.5169913611627208E-2</v>
      </c>
      <c r="AG269" s="398">
        <v>0.50308210091539252</v>
      </c>
    </row>
    <row r="270" spans="1:33" x14ac:dyDescent="0.45">
      <c r="A270" s="472"/>
      <c r="B270" s="472"/>
      <c r="C270" s="473"/>
      <c r="D270" s="473"/>
      <c r="E270" s="473"/>
      <c r="F270" s="474"/>
      <c r="G270" s="474"/>
      <c r="H270" s="474"/>
      <c r="I270" s="474"/>
      <c r="J270" s="474"/>
      <c r="K270" s="475"/>
      <c r="AA270" s="120" t="s">
        <v>596</v>
      </c>
      <c r="AB270" s="120" t="s">
        <v>478</v>
      </c>
      <c r="AC270" s="397">
        <v>230</v>
      </c>
      <c r="AD270" s="397">
        <v>222193</v>
      </c>
      <c r="AE270" s="397">
        <v>966</v>
      </c>
      <c r="AF270" s="398">
        <v>5.6117425568816146E-2</v>
      </c>
      <c r="AG270" s="398">
        <v>0.50640850243036317</v>
      </c>
    </row>
    <row r="271" spans="1:33" x14ac:dyDescent="0.45">
      <c r="A271" s="472"/>
      <c r="B271" s="472"/>
      <c r="C271" s="473"/>
      <c r="D271" s="473"/>
      <c r="E271" s="473"/>
      <c r="F271" s="474"/>
      <c r="G271" s="474"/>
      <c r="H271" s="474"/>
      <c r="I271" s="474"/>
      <c r="J271" s="474"/>
      <c r="K271" s="475"/>
      <c r="AA271" s="120" t="s">
        <v>597</v>
      </c>
      <c r="AB271" s="120" t="s">
        <v>478</v>
      </c>
      <c r="AC271" s="397">
        <v>205</v>
      </c>
      <c r="AD271" s="397">
        <v>197348</v>
      </c>
      <c r="AE271" s="397">
        <v>963</v>
      </c>
      <c r="AF271" s="398">
        <v>5.6961947095875848E-2</v>
      </c>
      <c r="AG271" s="398">
        <v>0.50936295502867379</v>
      </c>
    </row>
    <row r="272" spans="1:33" x14ac:dyDescent="0.45">
      <c r="A272" s="472"/>
      <c r="B272" s="472"/>
      <c r="C272" s="473"/>
      <c r="D272" s="473"/>
      <c r="E272" s="473"/>
      <c r="F272" s="474"/>
      <c r="G272" s="474"/>
      <c r="H272" s="474"/>
      <c r="I272" s="474"/>
      <c r="J272" s="474"/>
      <c r="K272" s="475"/>
      <c r="AA272" s="120" t="s">
        <v>598</v>
      </c>
      <c r="AB272" s="120" t="s">
        <v>478</v>
      </c>
      <c r="AC272" s="397">
        <v>179</v>
      </c>
      <c r="AD272" s="397">
        <v>171119</v>
      </c>
      <c r="AE272" s="397">
        <v>956</v>
      </c>
      <c r="AF272" s="398">
        <v>5.7699358575601156E-2</v>
      </c>
      <c r="AG272" s="398">
        <v>0.51192473915706782</v>
      </c>
    </row>
    <row r="273" spans="1:33" x14ac:dyDescent="0.45">
      <c r="A273" s="472"/>
      <c r="B273" s="472"/>
      <c r="C273" s="473"/>
      <c r="D273" s="473"/>
      <c r="E273" s="473"/>
      <c r="F273" s="474"/>
      <c r="G273" s="474"/>
      <c r="H273" s="474"/>
      <c r="I273" s="474"/>
      <c r="J273" s="474"/>
      <c r="K273" s="475"/>
      <c r="AA273" s="120" t="s">
        <v>599</v>
      </c>
      <c r="AB273" s="120" t="s">
        <v>486</v>
      </c>
      <c r="AC273" s="397">
        <v>130</v>
      </c>
      <c r="AD273" s="397">
        <v>123043</v>
      </c>
      <c r="AE273" s="397">
        <v>950</v>
      </c>
      <c r="AF273" s="398">
        <v>5.823490881227316E-2</v>
      </c>
      <c r="AG273" s="398">
        <v>0.51376678828375733</v>
      </c>
    </row>
    <row r="274" spans="1:33" x14ac:dyDescent="0.45">
      <c r="A274" s="472"/>
      <c r="B274" s="472"/>
      <c r="C274" s="473"/>
      <c r="D274" s="473"/>
      <c r="E274" s="473"/>
      <c r="F274" s="474"/>
      <c r="G274" s="474"/>
      <c r="H274" s="474"/>
      <c r="I274" s="474"/>
      <c r="J274" s="474"/>
      <c r="K274" s="475"/>
      <c r="AA274" s="120" t="s">
        <v>600</v>
      </c>
      <c r="AB274" s="120" t="s">
        <v>486</v>
      </c>
      <c r="AC274" s="397">
        <v>95</v>
      </c>
      <c r="AD274" s="397">
        <v>89305</v>
      </c>
      <c r="AE274" s="397">
        <v>939</v>
      </c>
      <c r="AF274" s="398">
        <v>5.8626272446764244E-2</v>
      </c>
      <c r="AG274" s="398">
        <v>0.51510375338749348</v>
      </c>
    </row>
    <row r="275" spans="1:33" x14ac:dyDescent="0.45">
      <c r="A275" s="472"/>
      <c r="B275" s="472"/>
      <c r="C275" s="473"/>
      <c r="D275" s="473"/>
      <c r="E275" s="473"/>
      <c r="F275" s="474"/>
      <c r="G275" s="474"/>
      <c r="H275" s="474"/>
      <c r="I275" s="474"/>
      <c r="J275" s="474"/>
      <c r="K275" s="475"/>
      <c r="AA275" s="120" t="s">
        <v>601</v>
      </c>
      <c r="AB275" s="120" t="s">
        <v>483</v>
      </c>
      <c r="AC275" s="397">
        <v>287</v>
      </c>
      <c r="AD275" s="397">
        <v>265411</v>
      </c>
      <c r="AE275" s="397">
        <v>926</v>
      </c>
      <c r="AF275" s="398">
        <v>5.9808602584647833E-2</v>
      </c>
      <c r="AG275" s="398">
        <v>0.51907716187691422</v>
      </c>
    </row>
    <row r="276" spans="1:33" x14ac:dyDescent="0.45">
      <c r="A276" s="472"/>
      <c r="B276" s="472"/>
      <c r="C276" s="473"/>
      <c r="D276" s="473"/>
      <c r="E276" s="473"/>
      <c r="F276" s="474"/>
      <c r="G276" s="474"/>
      <c r="H276" s="474"/>
      <c r="I276" s="474"/>
      <c r="J276" s="474"/>
      <c r="K276" s="475"/>
      <c r="AA276" s="120" t="s">
        <v>602</v>
      </c>
      <c r="AB276" s="120" t="s">
        <v>486</v>
      </c>
      <c r="AC276" s="397">
        <v>161</v>
      </c>
      <c r="AD276" s="397">
        <v>148452</v>
      </c>
      <c r="AE276" s="397">
        <v>921</v>
      </c>
      <c r="AF276" s="398">
        <v>6.0471860954680094E-2</v>
      </c>
      <c r="AG276" s="398">
        <v>0.52129960343763138</v>
      </c>
    </row>
    <row r="277" spans="1:33" x14ac:dyDescent="0.45">
      <c r="A277" s="472"/>
      <c r="B277" s="472"/>
      <c r="C277" s="473"/>
      <c r="D277" s="473"/>
      <c r="E277" s="473"/>
      <c r="F277" s="474"/>
      <c r="G277" s="474"/>
      <c r="H277" s="474"/>
      <c r="I277" s="474"/>
      <c r="J277" s="474"/>
      <c r="K277" s="475"/>
      <c r="AA277" s="120" t="s">
        <v>603</v>
      </c>
      <c r="AB277" s="120" t="s">
        <v>486</v>
      </c>
      <c r="AC277" s="397">
        <v>80</v>
      </c>
      <c r="AD277" s="397">
        <v>72218</v>
      </c>
      <c r="AE277" s="397">
        <v>900</v>
      </c>
      <c r="AF277" s="398">
        <v>6.0801430331093635E-2</v>
      </c>
      <c r="AG277" s="398">
        <v>0.52238076290083746</v>
      </c>
    </row>
    <row r="278" spans="1:33" x14ac:dyDescent="0.45">
      <c r="A278" s="472"/>
      <c r="B278" s="472"/>
      <c r="C278" s="473"/>
      <c r="D278" s="473"/>
      <c r="E278" s="473"/>
      <c r="F278" s="474"/>
      <c r="G278" s="474"/>
      <c r="H278" s="474"/>
      <c r="I278" s="474"/>
      <c r="J278" s="474"/>
      <c r="K278" s="475"/>
      <c r="AA278" s="120" t="s">
        <v>604</v>
      </c>
      <c r="AB278" s="120" t="s">
        <v>478</v>
      </c>
      <c r="AC278" s="397">
        <v>309</v>
      </c>
      <c r="AD278" s="397">
        <v>269457</v>
      </c>
      <c r="AE278" s="397">
        <v>873</v>
      </c>
      <c r="AF278" s="398">
        <v>6.2074392047490948E-2</v>
      </c>
      <c r="AG278" s="398">
        <v>0.52641474314782744</v>
      </c>
    </row>
    <row r="279" spans="1:33" x14ac:dyDescent="0.45">
      <c r="A279" s="472"/>
      <c r="B279" s="472"/>
      <c r="C279" s="473"/>
      <c r="D279" s="473"/>
      <c r="E279" s="473"/>
      <c r="F279" s="474"/>
      <c r="G279" s="474"/>
      <c r="H279" s="474"/>
      <c r="I279" s="474"/>
      <c r="J279" s="474"/>
      <c r="K279" s="475"/>
      <c r="AA279" s="120" t="s">
        <v>605</v>
      </c>
      <c r="AB279" s="120" t="s">
        <v>486</v>
      </c>
      <c r="AC279" s="397">
        <v>78</v>
      </c>
      <c r="AD279" s="397">
        <v>67049</v>
      </c>
      <c r="AE279" s="397">
        <v>861</v>
      </c>
      <c r="AF279" s="398">
        <v>6.239572218949415E-2</v>
      </c>
      <c r="AG279" s="398">
        <v>0.52741851867260658</v>
      </c>
    </row>
    <row r="280" spans="1:33" x14ac:dyDescent="0.45">
      <c r="A280" s="472"/>
      <c r="B280" s="472"/>
      <c r="C280" s="473"/>
      <c r="D280" s="473"/>
      <c r="E280" s="473"/>
      <c r="F280" s="474"/>
      <c r="G280" s="474"/>
      <c r="H280" s="474"/>
      <c r="I280" s="474"/>
      <c r="J280" s="474"/>
      <c r="K280" s="475"/>
      <c r="AA280" s="120" t="s">
        <v>606</v>
      </c>
      <c r="AB280" s="120" t="s">
        <v>478</v>
      </c>
      <c r="AC280" s="397">
        <v>193</v>
      </c>
      <c r="AD280" s="397">
        <v>159563</v>
      </c>
      <c r="AE280" s="397">
        <v>828</v>
      </c>
      <c r="AF280" s="398">
        <v>6.3190808310091828E-2</v>
      </c>
      <c r="AG280" s="398">
        <v>0.52980730051961911</v>
      </c>
    </row>
    <row r="281" spans="1:33" x14ac:dyDescent="0.45">
      <c r="A281" s="472"/>
      <c r="B281" s="472"/>
      <c r="C281" s="473"/>
      <c r="D281" s="473"/>
      <c r="E281" s="473"/>
      <c r="F281" s="474"/>
      <c r="G281" s="474"/>
      <c r="H281" s="474"/>
      <c r="I281" s="474"/>
      <c r="J281" s="474"/>
      <c r="K281" s="475"/>
      <c r="AA281" s="120" t="s">
        <v>607</v>
      </c>
      <c r="AB281" s="120" t="s">
        <v>478</v>
      </c>
      <c r="AC281" s="397">
        <v>190</v>
      </c>
      <c r="AD281" s="397">
        <v>154676</v>
      </c>
      <c r="AE281" s="397">
        <v>812</v>
      </c>
      <c r="AF281" s="398">
        <v>6.3973535579073995E-2</v>
      </c>
      <c r="AG281" s="398">
        <v>0.53212292018688856</v>
      </c>
    </row>
    <row r="282" spans="1:33" x14ac:dyDescent="0.45">
      <c r="A282" s="472"/>
      <c r="B282" s="472"/>
      <c r="C282" s="473"/>
      <c r="D282" s="473"/>
      <c r="E282" s="473"/>
      <c r="F282" s="474"/>
      <c r="G282" s="474"/>
      <c r="H282" s="474"/>
      <c r="I282" s="474"/>
      <c r="J282" s="474"/>
      <c r="K282" s="475"/>
      <c r="AA282" s="120" t="s">
        <v>608</v>
      </c>
      <c r="AB282" s="120" t="s">
        <v>486</v>
      </c>
      <c r="AC282" s="397">
        <v>111</v>
      </c>
      <c r="AD282" s="397">
        <v>88920</v>
      </c>
      <c r="AE282" s="397">
        <v>803</v>
      </c>
      <c r="AF282" s="398">
        <v>6.443081308884778E-2</v>
      </c>
      <c r="AG282" s="398">
        <v>0.53345412154206717</v>
      </c>
    </row>
    <row r="283" spans="1:33" x14ac:dyDescent="0.45">
      <c r="A283" s="472"/>
      <c r="B283" s="472"/>
      <c r="C283" s="473"/>
      <c r="D283" s="473"/>
      <c r="E283" s="473"/>
      <c r="F283" s="474"/>
      <c r="G283" s="474"/>
      <c r="H283" s="474"/>
      <c r="I283" s="474"/>
      <c r="J283" s="474"/>
      <c r="K283" s="475"/>
      <c r="AA283" s="120" t="s">
        <v>609</v>
      </c>
      <c r="AB283" s="120" t="s">
        <v>486</v>
      </c>
      <c r="AC283" s="397">
        <v>130</v>
      </c>
      <c r="AD283" s="397">
        <v>101526</v>
      </c>
      <c r="AE283" s="397">
        <v>778</v>
      </c>
      <c r="AF283" s="398">
        <v>6.4966363325519791E-2</v>
      </c>
      <c r="AG283" s="398">
        <v>0.53497404449287522</v>
      </c>
    </row>
    <row r="284" spans="1:33" x14ac:dyDescent="0.45">
      <c r="A284" s="472"/>
      <c r="B284" s="472"/>
      <c r="C284" s="473"/>
      <c r="D284" s="473"/>
      <c r="E284" s="473"/>
      <c r="F284" s="474"/>
      <c r="G284" s="474"/>
      <c r="H284" s="474"/>
      <c r="I284" s="474"/>
      <c r="J284" s="474"/>
      <c r="K284" s="475"/>
      <c r="AA284" s="120" t="s">
        <v>610</v>
      </c>
      <c r="AB284" s="120" t="s">
        <v>478</v>
      </c>
      <c r="AC284" s="397">
        <v>272</v>
      </c>
      <c r="AD284" s="397">
        <v>210618</v>
      </c>
      <c r="AE284" s="397">
        <v>775</v>
      </c>
      <c r="AF284" s="398">
        <v>6.6086899205325844E-2</v>
      </c>
      <c r="AG284" s="398">
        <v>0.53812715928173038</v>
      </c>
    </row>
    <row r="285" spans="1:33" x14ac:dyDescent="0.45">
      <c r="A285" s="472"/>
      <c r="B285" s="472"/>
      <c r="C285" s="473"/>
      <c r="D285" s="473"/>
      <c r="E285" s="473"/>
      <c r="F285" s="474"/>
      <c r="G285" s="474"/>
      <c r="H285" s="474"/>
      <c r="I285" s="474"/>
      <c r="J285" s="474"/>
      <c r="K285" s="475"/>
      <c r="AA285" s="120" t="s">
        <v>611</v>
      </c>
      <c r="AB285" s="120" t="s">
        <v>478</v>
      </c>
      <c r="AC285" s="397">
        <v>197</v>
      </c>
      <c r="AD285" s="397">
        <v>151422</v>
      </c>
      <c r="AE285" s="397">
        <v>771</v>
      </c>
      <c r="AF285" s="398">
        <v>6.6898463794744192E-2</v>
      </c>
      <c r="AG285" s="398">
        <v>0.5403940640456063</v>
      </c>
    </row>
    <row r="286" spans="1:33" x14ac:dyDescent="0.45">
      <c r="A286" s="472"/>
      <c r="B286" s="472"/>
      <c r="C286" s="473"/>
      <c r="D286" s="473"/>
      <c r="E286" s="473"/>
      <c r="F286" s="474"/>
      <c r="G286" s="474"/>
      <c r="H286" s="474"/>
      <c r="I286" s="474"/>
      <c r="J286" s="474"/>
      <c r="K286" s="475"/>
      <c r="AA286" s="120" t="s">
        <v>612</v>
      </c>
      <c r="AB286" s="120" t="s">
        <v>483</v>
      </c>
      <c r="AC286" s="397">
        <v>329</v>
      </c>
      <c r="AD286" s="397">
        <v>246866</v>
      </c>
      <c r="AE286" s="397">
        <v>750</v>
      </c>
      <c r="AF286" s="398">
        <v>6.8253817855244897E-2</v>
      </c>
      <c r="AG286" s="398">
        <v>0.54408983950385537</v>
      </c>
    </row>
    <row r="287" spans="1:33" x14ac:dyDescent="0.45">
      <c r="A287" s="472"/>
      <c r="B287" s="472"/>
      <c r="C287" s="473"/>
      <c r="D287" s="473"/>
      <c r="E287" s="473"/>
      <c r="F287" s="474"/>
      <c r="G287" s="474"/>
      <c r="H287" s="474"/>
      <c r="I287" s="474"/>
      <c r="J287" s="474"/>
      <c r="K287" s="475"/>
      <c r="AA287" s="120" t="s">
        <v>613</v>
      </c>
      <c r="AB287" s="120" t="s">
        <v>478</v>
      </c>
      <c r="AC287" s="397">
        <v>126</v>
      </c>
      <c r="AD287" s="397">
        <v>93961</v>
      </c>
      <c r="AE287" s="397">
        <v>748</v>
      </c>
      <c r="AF287" s="398">
        <v>6.8772889623096217E-2</v>
      </c>
      <c r="AG287" s="398">
        <v>0.54549650853820009</v>
      </c>
    </row>
    <row r="288" spans="1:33" x14ac:dyDescent="0.45">
      <c r="A288" s="472"/>
      <c r="B288" s="472"/>
      <c r="C288" s="473"/>
      <c r="D288" s="473"/>
      <c r="E288" s="473"/>
      <c r="F288" s="474"/>
      <c r="G288" s="474"/>
      <c r="H288" s="474"/>
      <c r="I288" s="474"/>
      <c r="J288" s="474"/>
      <c r="K288" s="475"/>
      <c r="AA288" s="120" t="s">
        <v>614</v>
      </c>
      <c r="AB288" s="120" t="s">
        <v>486</v>
      </c>
      <c r="AC288" s="397">
        <v>212</v>
      </c>
      <c r="AD288" s="397">
        <v>154763</v>
      </c>
      <c r="AE288" s="397">
        <v>728</v>
      </c>
      <c r="AF288" s="398">
        <v>6.9646248470592115E-2</v>
      </c>
      <c r="AG288" s="398">
        <v>0.54781343066293575</v>
      </c>
    </row>
    <row r="289" spans="1:33" x14ac:dyDescent="0.45">
      <c r="A289" s="472"/>
      <c r="B289" s="472"/>
      <c r="C289" s="473"/>
      <c r="D289" s="473"/>
      <c r="E289" s="473"/>
      <c r="F289" s="474"/>
      <c r="G289" s="474"/>
      <c r="H289" s="474"/>
      <c r="I289" s="474"/>
      <c r="J289" s="474"/>
      <c r="K289" s="475"/>
      <c r="AA289" s="120" t="s">
        <v>615</v>
      </c>
      <c r="AB289" s="120" t="s">
        <v>486</v>
      </c>
      <c r="AC289" s="397">
        <v>221</v>
      </c>
      <c r="AD289" s="397">
        <v>160758</v>
      </c>
      <c r="AE289" s="397">
        <v>727</v>
      </c>
      <c r="AF289" s="398">
        <v>7.0556683872934525E-2</v>
      </c>
      <c r="AG289" s="398">
        <v>0.55022010258664011</v>
      </c>
    </row>
    <row r="290" spans="1:33" x14ac:dyDescent="0.45">
      <c r="A290" s="472"/>
      <c r="B290" s="472"/>
      <c r="C290" s="473"/>
      <c r="D290" s="473"/>
      <c r="E290" s="473"/>
      <c r="F290" s="474"/>
      <c r="G290" s="474"/>
      <c r="H290" s="474"/>
      <c r="I290" s="474"/>
      <c r="J290" s="474"/>
      <c r="K290" s="475"/>
      <c r="AA290" s="120" t="s">
        <v>616</v>
      </c>
      <c r="AB290" s="120" t="s">
        <v>499</v>
      </c>
      <c r="AC290" s="397">
        <v>470</v>
      </c>
      <c r="AD290" s="397">
        <v>341370</v>
      </c>
      <c r="AE290" s="397">
        <v>726</v>
      </c>
      <c r="AF290" s="398">
        <v>7.2492903959364099E-2</v>
      </c>
      <c r="AG290" s="398">
        <v>0.55533067621031651</v>
      </c>
    </row>
    <row r="291" spans="1:33" x14ac:dyDescent="0.45">
      <c r="A291" s="472"/>
      <c r="B291" s="472"/>
      <c r="C291" s="473"/>
      <c r="D291" s="473"/>
      <c r="E291" s="473"/>
      <c r="F291" s="474"/>
      <c r="G291" s="474"/>
      <c r="H291" s="474"/>
      <c r="I291" s="474"/>
      <c r="J291" s="474"/>
      <c r="K291" s="475"/>
      <c r="AA291" s="120" t="s">
        <v>617</v>
      </c>
      <c r="AB291" s="120" t="s">
        <v>499</v>
      </c>
      <c r="AC291" s="397">
        <v>261</v>
      </c>
      <c r="AD291" s="397">
        <v>179100</v>
      </c>
      <c r="AE291" s="397">
        <v>685</v>
      </c>
      <c r="AF291" s="398">
        <v>7.356812404991328E-2</v>
      </c>
      <c r="AG291" s="398">
        <v>0.55801194209777127</v>
      </c>
    </row>
    <row r="292" spans="1:33" x14ac:dyDescent="0.45">
      <c r="A292" s="472"/>
      <c r="B292" s="472"/>
      <c r="C292" s="473"/>
      <c r="D292" s="473"/>
      <c r="E292" s="473"/>
      <c r="F292" s="474"/>
      <c r="G292" s="474"/>
      <c r="H292" s="474"/>
      <c r="I292" s="474"/>
      <c r="J292" s="474"/>
      <c r="K292" s="475"/>
      <c r="AA292" s="120" t="s">
        <v>618</v>
      </c>
      <c r="AB292" s="120" t="s">
        <v>486</v>
      </c>
      <c r="AC292" s="397">
        <v>279</v>
      </c>
      <c r="AD292" s="397">
        <v>185851</v>
      </c>
      <c r="AE292" s="397">
        <v>666</v>
      </c>
      <c r="AF292" s="398">
        <v>7.4717497250155515E-2</v>
      </c>
      <c r="AG292" s="398">
        <v>0.56079427569045326</v>
      </c>
    </row>
    <row r="293" spans="1:33" x14ac:dyDescent="0.45">
      <c r="A293" s="472"/>
      <c r="B293" s="472"/>
      <c r="C293" s="473"/>
      <c r="D293" s="473"/>
      <c r="E293" s="473"/>
      <c r="F293" s="474"/>
      <c r="G293" s="474"/>
      <c r="H293" s="474"/>
      <c r="I293" s="474"/>
      <c r="J293" s="474"/>
      <c r="K293" s="475"/>
      <c r="AA293" s="120" t="s">
        <v>619</v>
      </c>
      <c r="AB293" s="120" t="s">
        <v>478</v>
      </c>
      <c r="AC293" s="397">
        <v>378</v>
      </c>
      <c r="AD293" s="397">
        <v>246993</v>
      </c>
      <c r="AE293" s="397">
        <v>654</v>
      </c>
      <c r="AF293" s="398">
        <v>7.6274712553709503E-2</v>
      </c>
      <c r="AG293" s="398">
        <v>0.56449195243718764</v>
      </c>
    </row>
    <row r="294" spans="1:33" x14ac:dyDescent="0.45">
      <c r="A294" s="472"/>
      <c r="B294" s="472"/>
      <c r="C294" s="473"/>
      <c r="D294" s="473"/>
      <c r="E294" s="473"/>
      <c r="F294" s="474"/>
      <c r="G294" s="474"/>
      <c r="H294" s="474"/>
      <c r="I294" s="474"/>
      <c r="J294" s="474"/>
      <c r="K294" s="475"/>
      <c r="V294" s="396"/>
      <c r="W294" s="396"/>
      <c r="AA294" s="120" t="s">
        <v>620</v>
      </c>
      <c r="AB294" s="120" t="s">
        <v>478</v>
      </c>
      <c r="AC294" s="397">
        <v>277</v>
      </c>
      <c r="AD294" s="397">
        <v>181075</v>
      </c>
      <c r="AE294" s="397">
        <v>653</v>
      </c>
      <c r="AF294" s="398">
        <v>7.7415846519541406E-2</v>
      </c>
      <c r="AG294" s="398">
        <v>0.56720278560620419</v>
      </c>
    </row>
    <row r="295" spans="1:33" x14ac:dyDescent="0.45">
      <c r="A295" s="472"/>
      <c r="B295" s="472"/>
      <c r="C295" s="473"/>
      <c r="D295" s="473"/>
      <c r="E295" s="473"/>
      <c r="F295" s="474"/>
      <c r="G295" s="474"/>
      <c r="H295" s="474"/>
      <c r="I295" s="474"/>
      <c r="J295" s="474"/>
      <c r="K295" s="475"/>
      <c r="AA295" s="120" t="s">
        <v>621</v>
      </c>
      <c r="AB295" s="120" t="s">
        <v>478</v>
      </c>
      <c r="AC295" s="397">
        <v>109</v>
      </c>
      <c r="AD295" s="397">
        <v>69862</v>
      </c>
      <c r="AE295" s="397">
        <v>643</v>
      </c>
      <c r="AF295" s="398">
        <v>7.7864884794904859E-2</v>
      </c>
      <c r="AG295" s="398">
        <v>0.56824867392239276</v>
      </c>
    </row>
    <row r="296" spans="1:33" x14ac:dyDescent="0.45">
      <c r="A296" s="472"/>
      <c r="B296" s="472"/>
      <c r="C296" s="473"/>
      <c r="D296" s="473"/>
      <c r="E296" s="473"/>
      <c r="F296" s="474"/>
      <c r="G296" s="474"/>
      <c r="H296" s="474"/>
      <c r="I296" s="474"/>
      <c r="J296" s="474"/>
      <c r="K296" s="475"/>
      <c r="X296" s="476"/>
      <c r="AA296" s="120" t="s">
        <v>622</v>
      </c>
      <c r="AB296" s="120" t="s">
        <v>499</v>
      </c>
      <c r="AC296" s="397">
        <v>174</v>
      </c>
      <c r="AD296" s="397">
        <v>108640</v>
      </c>
      <c r="AE296" s="397">
        <v>623</v>
      </c>
      <c r="AF296" s="398">
        <v>7.8581698188604318E-2</v>
      </c>
      <c r="AG296" s="398">
        <v>0.56987509896992528</v>
      </c>
    </row>
    <row r="297" spans="1:33" x14ac:dyDescent="0.45">
      <c r="A297" s="472"/>
      <c r="B297" s="472"/>
      <c r="C297" s="473"/>
      <c r="D297" s="473"/>
      <c r="E297" s="473"/>
      <c r="F297" s="474"/>
      <c r="G297" s="474"/>
      <c r="H297" s="474"/>
      <c r="I297" s="474"/>
      <c r="J297" s="474"/>
      <c r="K297" s="475"/>
      <c r="AA297" s="120" t="s">
        <v>623</v>
      </c>
      <c r="AB297" s="120" t="s">
        <v>478</v>
      </c>
      <c r="AC297" s="397">
        <v>290</v>
      </c>
      <c r="AD297" s="397">
        <v>179854</v>
      </c>
      <c r="AE297" s="397">
        <v>620</v>
      </c>
      <c r="AF297" s="398">
        <v>7.9776387178103411E-2</v>
      </c>
      <c r="AG297" s="398">
        <v>0.57256765282208777</v>
      </c>
    </row>
    <row r="298" spans="1:33" x14ac:dyDescent="0.45">
      <c r="A298" s="472"/>
      <c r="B298" s="472"/>
      <c r="C298" s="473"/>
      <c r="D298" s="473"/>
      <c r="E298" s="473"/>
      <c r="F298" s="474"/>
      <c r="G298" s="474"/>
      <c r="H298" s="474"/>
      <c r="I298" s="474"/>
      <c r="J298" s="474"/>
      <c r="K298" s="475"/>
      <c r="Y298" s="477"/>
      <c r="AA298" s="120" t="s">
        <v>624</v>
      </c>
      <c r="AB298" s="120" t="s">
        <v>486</v>
      </c>
      <c r="AC298" s="397">
        <v>211</v>
      </c>
      <c r="AD298" s="397">
        <v>129441</v>
      </c>
      <c r="AE298" s="397">
        <v>614</v>
      </c>
      <c r="AF298" s="398">
        <v>8.0645626408394136E-2</v>
      </c>
      <c r="AG298" s="398">
        <v>0.5745054849702621</v>
      </c>
    </row>
    <row r="299" spans="1:33" x14ac:dyDescent="0.45">
      <c r="A299" s="472"/>
      <c r="B299" s="472"/>
      <c r="C299" s="473"/>
      <c r="D299" s="473"/>
      <c r="E299" s="473"/>
      <c r="F299" s="474"/>
      <c r="G299" s="474"/>
      <c r="H299" s="474"/>
      <c r="I299" s="474"/>
      <c r="J299" s="474"/>
      <c r="K299" s="475"/>
      <c r="AA299" s="120" t="s">
        <v>625</v>
      </c>
      <c r="AB299" s="120" t="s">
        <v>486</v>
      </c>
      <c r="AC299" s="397">
        <v>328</v>
      </c>
      <c r="AD299" s="397">
        <v>194706</v>
      </c>
      <c r="AE299" s="397">
        <v>593</v>
      </c>
      <c r="AF299" s="398">
        <v>8.1996860851689654E-2</v>
      </c>
      <c r="AG299" s="398">
        <v>0.57742038477976954</v>
      </c>
    </row>
    <row r="300" spans="1:33" x14ac:dyDescent="0.45">
      <c r="A300" s="472"/>
      <c r="B300" s="472"/>
      <c r="C300" s="473"/>
      <c r="D300" s="473"/>
      <c r="E300" s="473"/>
      <c r="F300" s="474"/>
      <c r="G300" s="474"/>
      <c r="H300" s="474"/>
      <c r="I300" s="474"/>
      <c r="J300" s="474"/>
      <c r="K300" s="475"/>
      <c r="Y300" s="476"/>
      <c r="AA300" s="120" t="s">
        <v>626</v>
      </c>
      <c r="AB300" s="120" t="s">
        <v>478</v>
      </c>
      <c r="AC300" s="397">
        <v>343</v>
      </c>
      <c r="AD300" s="397">
        <v>202259</v>
      </c>
      <c r="AE300" s="397">
        <v>589</v>
      </c>
      <c r="AF300" s="398">
        <v>8.3409889553062735E-2</v>
      </c>
      <c r="AG300" s="398">
        <v>0.58044835885643453</v>
      </c>
    </row>
    <row r="301" spans="1:33" x14ac:dyDescent="0.45">
      <c r="A301" s="472"/>
      <c r="B301" s="472"/>
      <c r="C301" s="473"/>
      <c r="D301" s="473"/>
      <c r="E301" s="473"/>
      <c r="F301" s="474"/>
      <c r="G301" s="474"/>
      <c r="H301" s="474"/>
      <c r="I301" s="474"/>
      <c r="J301" s="474"/>
      <c r="K301" s="475"/>
      <c r="AA301" s="120" t="s">
        <v>627</v>
      </c>
      <c r="AB301" s="120" t="s">
        <v>478</v>
      </c>
      <c r="AC301" s="397">
        <v>251</v>
      </c>
      <c r="AD301" s="397">
        <v>147049</v>
      </c>
      <c r="AE301" s="397">
        <v>586</v>
      </c>
      <c r="AF301" s="398">
        <v>8.4443913471560217E-2</v>
      </c>
      <c r="AG301" s="398">
        <v>0.58264979641916115</v>
      </c>
    </row>
    <row r="302" spans="1:33" x14ac:dyDescent="0.45">
      <c r="A302" s="472"/>
      <c r="B302" s="472"/>
      <c r="C302" s="473"/>
      <c r="D302" s="473"/>
      <c r="E302" s="473"/>
      <c r="F302" s="474"/>
      <c r="G302" s="474"/>
      <c r="H302" s="474"/>
      <c r="I302" s="474"/>
      <c r="J302" s="474"/>
      <c r="K302" s="475"/>
      <c r="Y302" s="478"/>
      <c r="AA302" s="120" t="s">
        <v>628</v>
      </c>
      <c r="AB302" s="120" t="s">
        <v>486</v>
      </c>
      <c r="AC302" s="397">
        <v>203</v>
      </c>
      <c r="AD302" s="397">
        <v>118216</v>
      </c>
      <c r="AE302" s="397">
        <v>583</v>
      </c>
      <c r="AF302" s="398">
        <v>8.5280195764209588E-2</v>
      </c>
      <c r="AG302" s="398">
        <v>0.58441958161263607</v>
      </c>
    </row>
    <row r="303" spans="1:33" x14ac:dyDescent="0.45">
      <c r="A303" s="472"/>
      <c r="B303" s="472"/>
      <c r="C303" s="473"/>
      <c r="D303" s="473"/>
      <c r="E303" s="473"/>
      <c r="F303" s="474"/>
      <c r="G303" s="474"/>
      <c r="H303" s="474"/>
      <c r="I303" s="474"/>
      <c r="J303" s="474"/>
      <c r="K303" s="475"/>
      <c r="AA303" s="120" t="s">
        <v>629</v>
      </c>
      <c r="AB303" s="120" t="s">
        <v>483</v>
      </c>
      <c r="AC303" s="397">
        <v>364</v>
      </c>
      <c r="AD303" s="397">
        <v>211455</v>
      </c>
      <c r="AE303" s="397">
        <v>581</v>
      </c>
      <c r="AF303" s="398">
        <v>8.6779736426891213E-2</v>
      </c>
      <c r="AG303" s="398">
        <v>0.58758522694056314</v>
      </c>
    </row>
    <row r="304" spans="1:33" x14ac:dyDescent="0.45">
      <c r="A304" s="472"/>
      <c r="B304" s="472"/>
      <c r="C304" s="473"/>
      <c r="D304" s="473"/>
      <c r="E304" s="473"/>
      <c r="F304" s="474"/>
      <c r="G304" s="474"/>
      <c r="H304" s="474"/>
      <c r="I304" s="474"/>
      <c r="J304" s="474"/>
      <c r="K304" s="475"/>
      <c r="AA304" s="120" t="s">
        <v>630</v>
      </c>
      <c r="AB304" s="120" t="s">
        <v>478</v>
      </c>
      <c r="AC304" s="397">
        <v>374</v>
      </c>
      <c r="AD304" s="397">
        <v>215052</v>
      </c>
      <c r="AE304" s="397">
        <v>575</v>
      </c>
      <c r="AF304" s="398">
        <v>8.8320473261624524E-2</v>
      </c>
      <c r="AG304" s="398">
        <v>0.5908047221478715</v>
      </c>
    </row>
    <row r="305" spans="1:33" x14ac:dyDescent="0.45">
      <c r="A305" s="472"/>
      <c r="B305" s="472"/>
      <c r="C305" s="473"/>
      <c r="D305" s="473"/>
      <c r="E305" s="473"/>
      <c r="F305" s="474"/>
      <c r="G305" s="474"/>
      <c r="H305" s="474"/>
      <c r="I305" s="474"/>
      <c r="J305" s="474"/>
      <c r="K305" s="475"/>
      <c r="AA305" s="120" t="s">
        <v>631</v>
      </c>
      <c r="AB305" s="120" t="s">
        <v>478</v>
      </c>
      <c r="AC305" s="397">
        <v>497</v>
      </c>
      <c r="AD305" s="397">
        <v>285093</v>
      </c>
      <c r="AE305" s="397">
        <v>574</v>
      </c>
      <c r="AF305" s="398">
        <v>9.0367923012593665E-2</v>
      </c>
      <c r="AG305" s="398">
        <v>0.59507278544017828</v>
      </c>
    </row>
    <row r="306" spans="1:33" x14ac:dyDescent="0.45">
      <c r="A306" s="472"/>
      <c r="B306" s="472"/>
      <c r="C306" s="473"/>
      <c r="D306" s="473"/>
      <c r="E306" s="473"/>
      <c r="F306" s="474"/>
      <c r="G306" s="474"/>
      <c r="H306" s="474"/>
      <c r="I306" s="474"/>
      <c r="J306" s="474"/>
      <c r="K306" s="475"/>
      <c r="AA306" s="120" t="s">
        <v>632</v>
      </c>
      <c r="AB306" s="120" t="s">
        <v>486</v>
      </c>
      <c r="AC306" s="397">
        <v>174</v>
      </c>
      <c r="AD306" s="397">
        <v>99336</v>
      </c>
      <c r="AE306" s="397">
        <v>570</v>
      </c>
      <c r="AF306" s="398">
        <v>9.1084736406293124E-2</v>
      </c>
      <c r="AG306" s="398">
        <v>0.59655992239269762</v>
      </c>
    </row>
    <row r="307" spans="1:33" x14ac:dyDescent="0.45">
      <c r="A307" s="472"/>
      <c r="B307" s="472"/>
      <c r="C307" s="473"/>
      <c r="D307" s="473"/>
      <c r="E307" s="473"/>
      <c r="F307" s="474"/>
      <c r="G307" s="474"/>
      <c r="H307" s="474"/>
      <c r="I307" s="474"/>
      <c r="J307" s="474"/>
      <c r="K307" s="475"/>
      <c r="AA307" s="120" t="s">
        <v>633</v>
      </c>
      <c r="AB307" s="120" t="s">
        <v>478</v>
      </c>
      <c r="AC307" s="397">
        <v>424</v>
      </c>
      <c r="AD307" s="397">
        <v>241264</v>
      </c>
      <c r="AE307" s="397">
        <v>569</v>
      </c>
      <c r="AF307" s="398">
        <v>9.2831454101284905E-2</v>
      </c>
      <c r="AG307" s="398">
        <v>0.60017183156673937</v>
      </c>
    </row>
    <row r="308" spans="1:33" x14ac:dyDescent="0.45">
      <c r="A308" s="472"/>
      <c r="B308" s="472"/>
      <c r="C308" s="473"/>
      <c r="D308" s="473"/>
      <c r="E308" s="473"/>
      <c r="F308" s="474"/>
      <c r="G308" s="474"/>
      <c r="H308" s="474"/>
      <c r="I308" s="474"/>
      <c r="J308" s="474"/>
      <c r="K308" s="475"/>
      <c r="AA308" s="120" t="s">
        <v>634</v>
      </c>
      <c r="AB308" s="120" t="s">
        <v>499</v>
      </c>
      <c r="AC308" s="397">
        <v>159</v>
      </c>
      <c r="AD308" s="397">
        <v>88930</v>
      </c>
      <c r="AE308" s="397">
        <v>560</v>
      </c>
      <c r="AF308" s="398">
        <v>9.3486473236906828E-2</v>
      </c>
      <c r="AG308" s="398">
        <v>0.60150318262967273</v>
      </c>
    </row>
    <row r="309" spans="1:33" x14ac:dyDescent="0.45">
      <c r="A309" s="472"/>
      <c r="B309" s="472"/>
      <c r="C309" s="473"/>
      <c r="D309" s="473"/>
      <c r="E309" s="473"/>
      <c r="F309" s="473"/>
      <c r="G309" s="479"/>
      <c r="H309" s="473"/>
      <c r="I309" s="479"/>
      <c r="J309" s="473"/>
      <c r="K309" s="480"/>
      <c r="AA309" s="120" t="s">
        <v>635</v>
      </c>
      <c r="AB309" s="120" t="s">
        <v>478</v>
      </c>
      <c r="AC309" s="397">
        <v>245</v>
      </c>
      <c r="AD309" s="397">
        <v>137150</v>
      </c>
      <c r="AE309" s="397">
        <v>560</v>
      </c>
      <c r="AF309" s="398">
        <v>9.4495779452173301E-2</v>
      </c>
      <c r="AG309" s="398">
        <v>0.60355642448597879</v>
      </c>
    </row>
    <row r="310" spans="1:33" x14ac:dyDescent="0.45">
      <c r="A310" s="472"/>
      <c r="B310" s="472"/>
      <c r="C310" s="473"/>
      <c r="D310" s="473"/>
      <c r="E310" s="473"/>
      <c r="F310" s="474"/>
      <c r="G310" s="474"/>
      <c r="H310" s="474"/>
      <c r="I310" s="474"/>
      <c r="J310" s="474"/>
      <c r="K310" s="475"/>
      <c r="AA310" s="120" t="s">
        <v>636</v>
      </c>
      <c r="AB310" s="120" t="s">
        <v>478</v>
      </c>
      <c r="AC310" s="397">
        <v>346</v>
      </c>
      <c r="AD310" s="397">
        <v>193282</v>
      </c>
      <c r="AE310" s="397">
        <v>559</v>
      </c>
      <c r="AF310" s="398">
        <v>9.5921167005161886E-2</v>
      </c>
      <c r="AG310" s="398">
        <v>0.60645000591121068</v>
      </c>
    </row>
    <row r="311" spans="1:33" x14ac:dyDescent="0.45">
      <c r="A311" s="472"/>
      <c r="B311" s="472"/>
      <c r="C311" s="473"/>
      <c r="D311" s="473"/>
      <c r="E311" s="473"/>
      <c r="F311" s="474"/>
      <c r="G311" s="474"/>
      <c r="H311" s="474"/>
      <c r="I311" s="474"/>
      <c r="J311" s="474"/>
      <c r="K311" s="475"/>
      <c r="AA311" s="120" t="s">
        <v>637</v>
      </c>
      <c r="AB311" s="120" t="s">
        <v>486</v>
      </c>
      <c r="AC311" s="397">
        <v>240</v>
      </c>
      <c r="AD311" s="397">
        <v>132153</v>
      </c>
      <c r="AE311" s="397">
        <v>550</v>
      </c>
      <c r="AF311" s="398">
        <v>9.6909875134402509E-2</v>
      </c>
      <c r="AG311" s="398">
        <v>0.60842843880247155</v>
      </c>
    </row>
    <row r="312" spans="1:33" x14ac:dyDescent="0.45">
      <c r="A312" s="472"/>
      <c r="B312" s="472"/>
      <c r="C312" s="473"/>
      <c r="D312" s="473"/>
      <c r="E312" s="473"/>
      <c r="F312" s="474"/>
      <c r="G312" s="474"/>
      <c r="H312" s="474"/>
      <c r="I312" s="474"/>
      <c r="J312" s="474"/>
      <c r="K312" s="475"/>
      <c r="AA312" s="120" t="s">
        <v>638</v>
      </c>
      <c r="AB312" s="120" t="s">
        <v>486</v>
      </c>
      <c r="AC312" s="397">
        <v>271</v>
      </c>
      <c r="AD312" s="397">
        <v>148998</v>
      </c>
      <c r="AE312" s="397">
        <v>550</v>
      </c>
      <c r="AF312" s="398">
        <v>9.802629139700339E-2</v>
      </c>
      <c r="AG312" s="398">
        <v>0.61065905440659762</v>
      </c>
    </row>
    <row r="313" spans="1:33" x14ac:dyDescent="0.45">
      <c r="A313" s="472"/>
      <c r="B313" s="472"/>
      <c r="C313" s="473"/>
      <c r="D313" s="473"/>
      <c r="E313" s="473"/>
      <c r="F313" s="474"/>
      <c r="G313" s="474"/>
      <c r="H313" s="474"/>
      <c r="I313" s="474"/>
      <c r="J313" s="474"/>
      <c r="K313" s="475"/>
      <c r="AA313" s="120" t="s">
        <v>639</v>
      </c>
      <c r="AB313" s="120" t="s">
        <v>483</v>
      </c>
      <c r="AC313" s="397">
        <v>568</v>
      </c>
      <c r="AD313" s="397">
        <v>311890</v>
      </c>
      <c r="AE313" s="397">
        <v>549</v>
      </c>
      <c r="AF313" s="398">
        <v>0.10036623396953955</v>
      </c>
      <c r="AG313" s="398">
        <v>0.61532828956929031</v>
      </c>
    </row>
    <row r="314" spans="1:33" x14ac:dyDescent="0.45">
      <c r="A314" s="472"/>
      <c r="B314" s="472"/>
      <c r="C314" s="473"/>
      <c r="D314" s="473"/>
      <c r="E314" s="473"/>
      <c r="F314" s="474"/>
      <c r="G314" s="474"/>
      <c r="H314" s="474"/>
      <c r="I314" s="474"/>
      <c r="J314" s="474"/>
      <c r="K314" s="475"/>
      <c r="AA314" s="120" t="s">
        <v>640</v>
      </c>
      <c r="AB314" s="120" t="s">
        <v>499</v>
      </c>
      <c r="AC314" s="397">
        <v>174</v>
      </c>
      <c r="AD314" s="397">
        <v>95530</v>
      </c>
      <c r="AE314" s="397">
        <v>548</v>
      </c>
      <c r="AF314" s="398">
        <v>0.101083047363239</v>
      </c>
      <c r="AG314" s="398">
        <v>0.61675844775035427</v>
      </c>
    </row>
    <row r="315" spans="1:33" x14ac:dyDescent="0.45">
      <c r="A315" s="472"/>
      <c r="B315" s="472"/>
      <c r="C315" s="473"/>
      <c r="D315" s="473"/>
      <c r="E315" s="473"/>
      <c r="F315" s="474"/>
      <c r="G315" s="474"/>
      <c r="H315" s="474"/>
      <c r="I315" s="474"/>
      <c r="J315" s="474"/>
      <c r="K315" s="475"/>
      <c r="AA315" s="120" t="s">
        <v>641</v>
      </c>
      <c r="AB315" s="120" t="s">
        <v>486</v>
      </c>
      <c r="AC315" s="397">
        <v>169</v>
      </c>
      <c r="AD315" s="397">
        <v>92112</v>
      </c>
      <c r="AE315" s="397">
        <v>544</v>
      </c>
      <c r="AF315" s="398">
        <v>0.10177926267091261</v>
      </c>
      <c r="AG315" s="398">
        <v>0.6181374358208469</v>
      </c>
    </row>
    <row r="316" spans="1:33" x14ac:dyDescent="0.45">
      <c r="A316" s="472"/>
      <c r="B316" s="472"/>
      <c r="C316" s="473"/>
      <c r="D316" s="473"/>
      <c r="E316" s="473"/>
      <c r="F316" s="474"/>
      <c r="G316" s="474"/>
      <c r="H316" s="474"/>
      <c r="I316" s="474"/>
      <c r="J316" s="474"/>
      <c r="K316" s="475"/>
      <c r="AA316" s="120" t="s">
        <v>642</v>
      </c>
      <c r="AB316" s="120" t="s">
        <v>499</v>
      </c>
      <c r="AC316" s="397">
        <v>297</v>
      </c>
      <c r="AD316" s="397">
        <v>160890</v>
      </c>
      <c r="AE316" s="397">
        <v>541</v>
      </c>
      <c r="AF316" s="398">
        <v>0.1030027889808479</v>
      </c>
      <c r="AG316" s="398">
        <v>0.6205460838869139</v>
      </c>
    </row>
    <row r="317" spans="1:33" x14ac:dyDescent="0.45">
      <c r="A317" s="472"/>
      <c r="B317" s="472"/>
      <c r="C317" s="473"/>
      <c r="D317" s="473"/>
      <c r="E317" s="473"/>
      <c r="F317" s="474"/>
      <c r="G317" s="474"/>
      <c r="H317" s="474"/>
      <c r="I317" s="474"/>
      <c r="J317" s="474"/>
      <c r="K317" s="475"/>
      <c r="AA317" s="120" t="s">
        <v>643</v>
      </c>
      <c r="AB317" s="120" t="s">
        <v>478</v>
      </c>
      <c r="AC317" s="397">
        <v>197</v>
      </c>
      <c r="AD317" s="397">
        <v>106803</v>
      </c>
      <c r="AE317" s="397">
        <v>541</v>
      </c>
      <c r="AF317" s="398">
        <v>0.10381435357026625</v>
      </c>
      <c r="AG317" s="398">
        <v>0.6221450076199001</v>
      </c>
    </row>
    <row r="318" spans="1:33" x14ac:dyDescent="0.45">
      <c r="A318" s="472"/>
      <c r="B318" s="472"/>
      <c r="C318" s="473"/>
      <c r="D318" s="473"/>
      <c r="E318" s="473"/>
      <c r="F318" s="474"/>
      <c r="G318" s="474"/>
      <c r="H318" s="474"/>
      <c r="I318" s="474"/>
      <c r="J318" s="474"/>
      <c r="K318" s="475"/>
      <c r="AA318" s="120" t="s">
        <v>644</v>
      </c>
      <c r="AB318" s="120" t="s">
        <v>478</v>
      </c>
      <c r="AC318" s="397">
        <v>111</v>
      </c>
      <c r="AD318" s="397">
        <v>60326</v>
      </c>
      <c r="AE318" s="397">
        <v>541</v>
      </c>
      <c r="AF318" s="398">
        <v>0.10427163108004005</v>
      </c>
      <c r="AG318" s="398">
        <v>0.62304813462116537</v>
      </c>
    </row>
    <row r="319" spans="1:33" x14ac:dyDescent="0.45">
      <c r="A319" s="472"/>
      <c r="B319" s="472"/>
      <c r="C319" s="473"/>
      <c r="D319" s="473"/>
      <c r="E319" s="473"/>
      <c r="F319" s="474"/>
      <c r="G319" s="474"/>
      <c r="H319" s="474"/>
      <c r="I319" s="474"/>
      <c r="J319" s="474"/>
      <c r="K319" s="475"/>
      <c r="AA319" s="120" t="s">
        <v>645</v>
      </c>
      <c r="AB319" s="120" t="s">
        <v>486</v>
      </c>
      <c r="AC319" s="397">
        <v>309</v>
      </c>
      <c r="AD319" s="397">
        <v>165394</v>
      </c>
      <c r="AE319" s="397">
        <v>536</v>
      </c>
      <c r="AF319" s="398">
        <v>0.10554459279643735</v>
      </c>
      <c r="AG319" s="398">
        <v>0.6255242110599688</v>
      </c>
    </row>
    <row r="320" spans="1:33" x14ac:dyDescent="0.45">
      <c r="A320" s="472"/>
      <c r="B320" s="472"/>
      <c r="C320" s="473"/>
      <c r="D320" s="473"/>
      <c r="E320" s="473"/>
      <c r="F320" s="474"/>
      <c r="G320" s="474"/>
      <c r="H320" s="474"/>
      <c r="I320" s="474"/>
      <c r="J320" s="474"/>
      <c r="K320" s="475"/>
      <c r="AA320" s="120" t="s">
        <v>646</v>
      </c>
      <c r="AB320" s="120" t="s">
        <v>486</v>
      </c>
      <c r="AC320" s="397">
        <v>339</v>
      </c>
      <c r="AD320" s="397">
        <v>178388</v>
      </c>
      <c r="AE320" s="397">
        <v>527</v>
      </c>
      <c r="AF320" s="398">
        <v>0.10694114302898974</v>
      </c>
      <c r="AG320" s="398">
        <v>0.62819481775528585</v>
      </c>
    </row>
    <row r="321" spans="1:33" x14ac:dyDescent="0.45">
      <c r="A321" s="472"/>
      <c r="B321" s="472"/>
      <c r="C321" s="473"/>
      <c r="D321" s="473"/>
      <c r="E321" s="473"/>
      <c r="F321" s="474"/>
      <c r="G321" s="474"/>
      <c r="H321" s="474"/>
      <c r="I321" s="474"/>
      <c r="J321" s="474"/>
      <c r="K321" s="475"/>
      <c r="AA321" s="120" t="s">
        <v>647</v>
      </c>
      <c r="AB321" s="120" t="s">
        <v>486</v>
      </c>
      <c r="AC321" s="397">
        <v>167</v>
      </c>
      <c r="AD321" s="397">
        <v>87368</v>
      </c>
      <c r="AE321" s="397">
        <v>522</v>
      </c>
      <c r="AF321" s="398">
        <v>0.10762911910225302</v>
      </c>
      <c r="AG321" s="398">
        <v>0.6295027844669282</v>
      </c>
    </row>
    <row r="322" spans="1:33" x14ac:dyDescent="0.45">
      <c r="A322" s="472"/>
      <c r="B322" s="472"/>
      <c r="C322" s="473"/>
      <c r="D322" s="473"/>
      <c r="E322" s="473"/>
      <c r="F322" s="474"/>
      <c r="G322" s="474"/>
      <c r="H322" s="474"/>
      <c r="I322" s="474"/>
      <c r="J322" s="474"/>
      <c r="K322" s="475"/>
      <c r="AA322" s="120" t="s">
        <v>648</v>
      </c>
      <c r="AB322" s="120" t="s">
        <v>486</v>
      </c>
      <c r="AC322" s="397">
        <v>138</v>
      </c>
      <c r="AD322" s="397">
        <v>71482</v>
      </c>
      <c r="AE322" s="397">
        <v>518</v>
      </c>
      <c r="AF322" s="398">
        <v>0.10819762627656639</v>
      </c>
      <c r="AG322" s="398">
        <v>0.63057292543938515</v>
      </c>
    </row>
    <row r="323" spans="1:33" x14ac:dyDescent="0.45">
      <c r="A323" s="472"/>
      <c r="B323" s="472"/>
      <c r="C323" s="473"/>
      <c r="D323" s="473"/>
      <c r="E323" s="473"/>
      <c r="F323" s="474"/>
      <c r="G323" s="474"/>
      <c r="H323" s="474"/>
      <c r="I323" s="474"/>
      <c r="J323" s="474"/>
      <c r="K323" s="475"/>
      <c r="AA323" s="120" t="s">
        <v>649</v>
      </c>
      <c r="AB323" s="120" t="s">
        <v>486</v>
      </c>
      <c r="AC323" s="397">
        <v>195</v>
      </c>
      <c r="AD323" s="397">
        <v>101291</v>
      </c>
      <c r="AE323" s="397">
        <v>518</v>
      </c>
      <c r="AF323" s="398">
        <v>0.10900095163157439</v>
      </c>
      <c r="AG323" s="398">
        <v>0.63208933025795677</v>
      </c>
    </row>
    <row r="324" spans="1:33" x14ac:dyDescent="0.45">
      <c r="A324" s="472"/>
      <c r="B324" s="472"/>
      <c r="C324" s="473"/>
      <c r="D324" s="473"/>
      <c r="E324" s="473"/>
      <c r="F324" s="474"/>
      <c r="G324" s="474"/>
      <c r="H324" s="474"/>
      <c r="I324" s="474"/>
      <c r="J324" s="474"/>
      <c r="K324" s="475"/>
      <c r="AA324" s="120" t="s">
        <v>650</v>
      </c>
      <c r="AB324" s="120" t="s">
        <v>486</v>
      </c>
      <c r="AC324" s="397">
        <v>283</v>
      </c>
      <c r="AD324" s="397">
        <v>143753</v>
      </c>
      <c r="AE324" s="397">
        <v>508</v>
      </c>
      <c r="AF324" s="398">
        <v>0.1101668033006373</v>
      </c>
      <c r="AG324" s="398">
        <v>0.63424142414471996</v>
      </c>
    </row>
    <row r="325" spans="1:33" x14ac:dyDescent="0.45">
      <c r="A325" s="472"/>
      <c r="B325" s="472"/>
      <c r="C325" s="473"/>
      <c r="D325" s="473"/>
      <c r="E325" s="473"/>
      <c r="F325" s="474"/>
      <c r="G325" s="474"/>
      <c r="H325" s="474"/>
      <c r="I325" s="474"/>
      <c r="J325" s="474"/>
      <c r="K325" s="475"/>
      <c r="AA325" s="120" t="s">
        <v>651</v>
      </c>
      <c r="AB325" s="120" t="s">
        <v>486</v>
      </c>
      <c r="AC325" s="397">
        <v>153</v>
      </c>
      <c r="AD325" s="397">
        <v>77021</v>
      </c>
      <c r="AE325" s="397">
        <v>503</v>
      </c>
      <c r="AF325" s="398">
        <v>0.1107971047330282</v>
      </c>
      <c r="AG325" s="398">
        <v>0.63539448824252931</v>
      </c>
    </row>
    <row r="326" spans="1:33" x14ac:dyDescent="0.45">
      <c r="A326" s="472"/>
      <c r="B326" s="472"/>
      <c r="C326" s="473"/>
      <c r="D326" s="473"/>
      <c r="E326" s="473"/>
      <c r="F326" s="474"/>
      <c r="G326" s="474"/>
      <c r="H326" s="474"/>
      <c r="I326" s="474"/>
      <c r="J326" s="474"/>
      <c r="K326" s="475"/>
      <c r="AA326" s="120" t="s">
        <v>652</v>
      </c>
      <c r="AB326" s="120" t="s">
        <v>486</v>
      </c>
      <c r="AC326" s="397">
        <v>160</v>
      </c>
      <c r="AD326" s="397">
        <v>80562</v>
      </c>
      <c r="AE326" s="397">
        <v>502</v>
      </c>
      <c r="AF326" s="398">
        <v>0.1114562434858553</v>
      </c>
      <c r="AG326" s="398">
        <v>0.63660056385629327</v>
      </c>
    </row>
    <row r="327" spans="1:33" x14ac:dyDescent="0.45">
      <c r="A327" s="472"/>
      <c r="B327" s="472"/>
      <c r="C327" s="473"/>
      <c r="D327" s="473"/>
      <c r="E327" s="473"/>
      <c r="F327" s="474"/>
      <c r="G327" s="474"/>
      <c r="H327" s="474"/>
      <c r="I327" s="474"/>
      <c r="J327" s="474"/>
      <c r="K327" s="475"/>
      <c r="AA327" s="120" t="s">
        <v>653</v>
      </c>
      <c r="AB327" s="120" t="s">
        <v>486</v>
      </c>
      <c r="AC327" s="397">
        <v>163</v>
      </c>
      <c r="AD327" s="397">
        <v>79707</v>
      </c>
      <c r="AE327" s="397">
        <v>489</v>
      </c>
      <c r="AF327" s="398">
        <v>0.11212774109029788</v>
      </c>
      <c r="AG327" s="398">
        <v>0.63779383945702672</v>
      </c>
    </row>
    <row r="328" spans="1:33" x14ac:dyDescent="0.45">
      <c r="A328" s="472"/>
      <c r="B328" s="472"/>
      <c r="C328" s="473"/>
      <c r="D328" s="473"/>
      <c r="E328" s="473"/>
      <c r="F328" s="474"/>
      <c r="G328" s="474"/>
      <c r="H328" s="474"/>
      <c r="I328" s="474"/>
      <c r="J328" s="474"/>
      <c r="K328" s="475"/>
      <c r="AA328" s="120" t="s">
        <v>654</v>
      </c>
      <c r="AB328" s="120" t="s">
        <v>486</v>
      </c>
      <c r="AC328" s="397">
        <v>166</v>
      </c>
      <c r="AD328" s="397">
        <v>80780</v>
      </c>
      <c r="AE328" s="397">
        <v>488</v>
      </c>
      <c r="AF328" s="398">
        <v>0.11281159754635599</v>
      </c>
      <c r="AG328" s="398">
        <v>0.63900317869984413</v>
      </c>
    </row>
    <row r="329" spans="1:33" x14ac:dyDescent="0.45">
      <c r="A329" s="472"/>
      <c r="B329" s="472"/>
      <c r="C329" s="473"/>
      <c r="D329" s="473"/>
      <c r="E329" s="473"/>
      <c r="F329" s="474"/>
      <c r="G329" s="474"/>
      <c r="H329" s="474"/>
      <c r="I329" s="474"/>
      <c r="J329" s="474"/>
      <c r="K329" s="475"/>
      <c r="AA329" s="120" t="s">
        <v>655</v>
      </c>
      <c r="AB329" s="120" t="s">
        <v>499</v>
      </c>
      <c r="AC329" s="397">
        <v>160</v>
      </c>
      <c r="AD329" s="397">
        <v>77800</v>
      </c>
      <c r="AE329" s="397">
        <v>485</v>
      </c>
      <c r="AF329" s="398">
        <v>0.11347073629918308</v>
      </c>
      <c r="AG329" s="398">
        <v>0.64016790503174803</v>
      </c>
    </row>
    <row r="330" spans="1:33" x14ac:dyDescent="0.45">
      <c r="A330" s="472"/>
      <c r="B330" s="472"/>
      <c r="C330" s="473"/>
      <c r="D330" s="473"/>
      <c r="E330" s="473"/>
      <c r="F330" s="474"/>
      <c r="G330" s="474"/>
      <c r="H330" s="474"/>
      <c r="I330" s="474"/>
      <c r="J330" s="474"/>
      <c r="K330" s="475"/>
      <c r="AA330" s="120" t="s">
        <v>656</v>
      </c>
      <c r="AB330" s="120" t="s">
        <v>486</v>
      </c>
      <c r="AC330" s="397">
        <v>265</v>
      </c>
      <c r="AD330" s="397">
        <v>128147</v>
      </c>
      <c r="AE330" s="397">
        <v>483</v>
      </c>
      <c r="AF330" s="398">
        <v>0.11456243485855294</v>
      </c>
      <c r="AG330" s="398">
        <v>0.64208636499645855</v>
      </c>
    </row>
    <row r="331" spans="1:33" x14ac:dyDescent="0.45">
      <c r="A331" s="472"/>
      <c r="B331" s="472"/>
      <c r="C331" s="473"/>
      <c r="D331" s="473"/>
      <c r="E331" s="473"/>
      <c r="F331" s="474"/>
      <c r="G331" s="474"/>
      <c r="H331" s="474"/>
      <c r="I331" s="474"/>
      <c r="J331" s="474"/>
      <c r="K331" s="475"/>
      <c r="AA331" s="120" t="s">
        <v>657</v>
      </c>
      <c r="AB331" s="120" t="s">
        <v>486</v>
      </c>
      <c r="AC331" s="397">
        <v>217</v>
      </c>
      <c r="AD331" s="397">
        <v>99881</v>
      </c>
      <c r="AE331" s="397">
        <v>460</v>
      </c>
      <c r="AF331" s="398">
        <v>0.11545639179207468</v>
      </c>
      <c r="AG331" s="398">
        <v>0.64358166102161141</v>
      </c>
    </row>
    <row r="332" spans="1:33" x14ac:dyDescent="0.45">
      <c r="A332" s="472"/>
      <c r="B332" s="472"/>
      <c r="C332" s="473"/>
      <c r="D332" s="473"/>
      <c r="E332" s="473"/>
      <c r="F332" s="474"/>
      <c r="G332" s="474"/>
      <c r="H332" s="474"/>
      <c r="I332" s="474"/>
      <c r="J332" s="474"/>
      <c r="K332" s="475"/>
      <c r="AA332" s="120" t="s">
        <v>658</v>
      </c>
      <c r="AB332" s="120" t="s">
        <v>486</v>
      </c>
      <c r="AC332" s="397">
        <v>334</v>
      </c>
      <c r="AD332" s="397">
        <v>151022</v>
      </c>
      <c r="AE332" s="397">
        <v>452</v>
      </c>
      <c r="AF332" s="398">
        <v>0.11683234393860123</v>
      </c>
      <c r="AG332" s="398">
        <v>0.64584257747529761</v>
      </c>
    </row>
    <row r="333" spans="1:33" x14ac:dyDescent="0.45">
      <c r="A333" s="472"/>
      <c r="B333" s="472"/>
      <c r="C333" s="473"/>
      <c r="D333" s="473"/>
      <c r="E333" s="473"/>
      <c r="F333" s="474"/>
      <c r="G333" s="474"/>
      <c r="H333" s="474"/>
      <c r="I333" s="474"/>
      <c r="J333" s="474"/>
      <c r="K333" s="475"/>
      <c r="AA333" s="120" t="s">
        <v>659</v>
      </c>
      <c r="AB333" s="120" t="s">
        <v>486</v>
      </c>
      <c r="AC333" s="397">
        <v>215</v>
      </c>
      <c r="AD333" s="397">
        <v>97073</v>
      </c>
      <c r="AE333" s="397">
        <v>451</v>
      </c>
      <c r="AF333" s="398">
        <v>0.11771806163771262</v>
      </c>
      <c r="AG333" s="398">
        <v>0.64729583556291848</v>
      </c>
    </row>
    <row r="334" spans="1:33" x14ac:dyDescent="0.45">
      <c r="A334" s="472"/>
      <c r="B334" s="472"/>
      <c r="C334" s="473"/>
      <c r="D334" s="473"/>
      <c r="E334" s="473"/>
      <c r="F334" s="474"/>
      <c r="G334" s="474"/>
      <c r="H334" s="474"/>
      <c r="I334" s="474"/>
      <c r="J334" s="474"/>
      <c r="K334" s="475"/>
      <c r="AA334" s="120" t="s">
        <v>660</v>
      </c>
      <c r="AB334" s="120" t="s">
        <v>486</v>
      </c>
      <c r="AC334" s="397">
        <v>393</v>
      </c>
      <c r="AD334" s="397">
        <v>171826</v>
      </c>
      <c r="AE334" s="397">
        <v>437</v>
      </c>
      <c r="AF334" s="398">
        <v>0.11933707119934416</v>
      </c>
      <c r="AG334" s="398">
        <v>0.6498682040295729</v>
      </c>
    </row>
    <row r="335" spans="1:33" x14ac:dyDescent="0.45">
      <c r="A335" s="472"/>
      <c r="B335" s="472"/>
      <c r="C335" s="473"/>
      <c r="D335" s="473"/>
      <c r="E335" s="473"/>
      <c r="F335" s="474"/>
      <c r="G335" s="474"/>
      <c r="H335" s="474"/>
      <c r="I335" s="474"/>
      <c r="J335" s="474"/>
      <c r="K335" s="475"/>
      <c r="AA335" s="120" t="s">
        <v>661</v>
      </c>
      <c r="AB335" s="120" t="s">
        <v>486</v>
      </c>
      <c r="AC335" s="397">
        <v>233</v>
      </c>
      <c r="AD335" s="397">
        <v>101776</v>
      </c>
      <c r="AE335" s="397">
        <v>436</v>
      </c>
      <c r="AF335" s="398">
        <v>0.1202969420081486</v>
      </c>
      <c r="AG335" s="398">
        <v>0.65139186967424956</v>
      </c>
    </row>
    <row r="336" spans="1:33" x14ac:dyDescent="0.45">
      <c r="A336" s="472"/>
      <c r="B336" s="472"/>
      <c r="C336" s="473"/>
      <c r="D336" s="473"/>
      <c r="E336" s="473"/>
      <c r="F336" s="474"/>
      <c r="G336" s="474"/>
      <c r="H336" s="474"/>
      <c r="I336" s="474"/>
      <c r="J336" s="474"/>
      <c r="K336" s="475"/>
      <c r="AA336" s="120" t="s">
        <v>662</v>
      </c>
      <c r="AB336" s="120" t="s">
        <v>486</v>
      </c>
      <c r="AC336" s="397">
        <v>336</v>
      </c>
      <c r="AD336" s="397">
        <v>146561</v>
      </c>
      <c r="AE336" s="397">
        <v>436</v>
      </c>
      <c r="AF336" s="398">
        <v>0.12168113338908548</v>
      </c>
      <c r="AG336" s="398">
        <v>0.65358600149854473</v>
      </c>
    </row>
    <row r="337" spans="1:33" x14ac:dyDescent="0.45">
      <c r="A337" s="472"/>
      <c r="B337" s="472"/>
      <c r="C337" s="473"/>
      <c r="D337" s="473"/>
      <c r="E337" s="473"/>
      <c r="F337" s="474"/>
      <c r="G337" s="474"/>
      <c r="H337" s="474"/>
      <c r="I337" s="474"/>
      <c r="J337" s="474"/>
      <c r="K337" s="475"/>
      <c r="AA337" s="120" t="s">
        <v>663</v>
      </c>
      <c r="AB337" s="120" t="s">
        <v>499</v>
      </c>
      <c r="AC337" s="397">
        <v>428</v>
      </c>
      <c r="AD337" s="397">
        <v>183100</v>
      </c>
      <c r="AE337" s="397">
        <v>428</v>
      </c>
      <c r="AF337" s="398">
        <v>0.12344432955289794</v>
      </c>
      <c r="AG337" s="398">
        <v>0.6563271504878968</v>
      </c>
    </row>
    <row r="338" spans="1:33" x14ac:dyDescent="0.45">
      <c r="A338" s="472"/>
      <c r="B338" s="472"/>
      <c r="C338" s="473"/>
      <c r="D338" s="473"/>
      <c r="E338" s="473"/>
      <c r="F338" s="474"/>
      <c r="G338" s="474"/>
      <c r="H338" s="474"/>
      <c r="I338" s="474"/>
      <c r="J338" s="474"/>
      <c r="K338" s="475"/>
      <c r="AA338" s="120" t="s">
        <v>664</v>
      </c>
      <c r="AB338" s="120" t="s">
        <v>478</v>
      </c>
      <c r="AC338" s="397">
        <v>716</v>
      </c>
      <c r="AD338" s="397">
        <v>288648</v>
      </c>
      <c r="AE338" s="397">
        <v>403</v>
      </c>
      <c r="AF338" s="398">
        <v>0.12639397547179915</v>
      </c>
      <c r="AG338" s="398">
        <v>0.66064843488701486</v>
      </c>
    </row>
    <row r="339" spans="1:33" x14ac:dyDescent="0.45">
      <c r="A339" s="472"/>
      <c r="B339" s="472"/>
      <c r="C339" s="473"/>
      <c r="D339" s="473"/>
      <c r="E339" s="473"/>
      <c r="F339" s="474"/>
      <c r="G339" s="474"/>
      <c r="H339" s="474"/>
      <c r="I339" s="474"/>
      <c r="J339" s="474"/>
      <c r="K339" s="475"/>
      <c r="AA339" s="120" t="s">
        <v>665</v>
      </c>
      <c r="AB339" s="120" t="s">
        <v>478</v>
      </c>
      <c r="AC339" s="397">
        <v>331</v>
      </c>
      <c r="AD339" s="397">
        <v>133587</v>
      </c>
      <c r="AE339" s="397">
        <v>403</v>
      </c>
      <c r="AF339" s="398">
        <v>0.12775756876671021</v>
      </c>
      <c r="AG339" s="398">
        <v>0.66264833587030592</v>
      </c>
    </row>
    <row r="340" spans="1:33" x14ac:dyDescent="0.45">
      <c r="A340" s="472"/>
      <c r="B340" s="472"/>
      <c r="C340" s="473"/>
      <c r="D340" s="473"/>
      <c r="E340" s="473"/>
      <c r="F340" s="474"/>
      <c r="G340" s="474"/>
      <c r="H340" s="474"/>
      <c r="I340" s="474"/>
      <c r="J340" s="474"/>
      <c r="K340" s="475"/>
      <c r="AA340" s="120" t="s">
        <v>666</v>
      </c>
      <c r="AB340" s="120" t="s">
        <v>486</v>
      </c>
      <c r="AC340" s="397">
        <v>373</v>
      </c>
      <c r="AD340" s="397">
        <v>150082</v>
      </c>
      <c r="AE340" s="397">
        <v>402</v>
      </c>
      <c r="AF340" s="398">
        <v>0.12929418598423834</v>
      </c>
      <c r="AG340" s="398">
        <v>0.6648951797950462</v>
      </c>
    </row>
    <row r="341" spans="1:33" x14ac:dyDescent="0.45">
      <c r="A341" s="472"/>
      <c r="B341" s="472"/>
      <c r="C341" s="473"/>
      <c r="D341" s="473"/>
      <c r="E341" s="473"/>
      <c r="F341" s="474"/>
      <c r="G341" s="474"/>
      <c r="H341" s="474"/>
      <c r="I341" s="474"/>
      <c r="J341" s="474"/>
      <c r="K341" s="475"/>
      <c r="AA341" s="120" t="s">
        <v>667</v>
      </c>
      <c r="AB341" s="120" t="s">
        <v>486</v>
      </c>
      <c r="AC341" s="397">
        <v>282</v>
      </c>
      <c r="AD341" s="397">
        <v>112091</v>
      </c>
      <c r="AE341" s="397">
        <v>397</v>
      </c>
      <c r="AF341" s="398">
        <v>0.13045591803609607</v>
      </c>
      <c r="AG341" s="398">
        <v>0.6665732689887407</v>
      </c>
    </row>
    <row r="342" spans="1:33" x14ac:dyDescent="0.45">
      <c r="A342" s="472"/>
      <c r="B342" s="472"/>
      <c r="C342" s="473"/>
      <c r="D342" s="473"/>
      <c r="E342" s="473"/>
      <c r="F342" s="474"/>
      <c r="G342" s="474"/>
      <c r="H342" s="474"/>
      <c r="I342" s="474"/>
      <c r="J342" s="474"/>
      <c r="K342" s="475"/>
      <c r="AA342" s="120" t="s">
        <v>668</v>
      </c>
      <c r="AB342" s="120" t="s">
        <v>486</v>
      </c>
      <c r="AC342" s="397">
        <v>339</v>
      </c>
      <c r="AD342" s="397">
        <v>131689</v>
      </c>
      <c r="AE342" s="397">
        <v>388</v>
      </c>
      <c r="AF342" s="398">
        <v>0.13185246826864847</v>
      </c>
      <c r="AG342" s="398">
        <v>0.66854475544018144</v>
      </c>
    </row>
    <row r="343" spans="1:33" x14ac:dyDescent="0.45">
      <c r="A343" s="472"/>
      <c r="B343" s="472"/>
      <c r="C343" s="473"/>
      <c r="D343" s="473"/>
      <c r="E343" s="473"/>
      <c r="F343" s="474"/>
      <c r="G343" s="474"/>
      <c r="H343" s="474"/>
      <c r="I343" s="474"/>
      <c r="J343" s="474"/>
      <c r="K343" s="475"/>
      <c r="AA343" s="120" t="s">
        <v>669</v>
      </c>
      <c r="AB343" s="120" t="s">
        <v>486</v>
      </c>
      <c r="AC343" s="397">
        <v>297</v>
      </c>
      <c r="AD343" s="397">
        <v>113136</v>
      </c>
      <c r="AE343" s="397">
        <v>380</v>
      </c>
      <c r="AF343" s="398">
        <v>0.13307599457858377</v>
      </c>
      <c r="AG343" s="398">
        <v>0.67023848909424666</v>
      </c>
    </row>
    <row r="344" spans="1:33" x14ac:dyDescent="0.45">
      <c r="A344" s="472"/>
      <c r="B344" s="472"/>
      <c r="C344" s="473"/>
      <c r="D344" s="473"/>
      <c r="E344" s="473"/>
      <c r="F344" s="474"/>
      <c r="G344" s="474"/>
      <c r="H344" s="474"/>
      <c r="I344" s="474"/>
      <c r="J344" s="474"/>
      <c r="K344" s="475"/>
      <c r="AA344" s="120" t="s">
        <v>670</v>
      </c>
      <c r="AB344" s="120" t="s">
        <v>486</v>
      </c>
      <c r="AC344" s="397">
        <v>315</v>
      </c>
      <c r="AD344" s="397">
        <v>118131</v>
      </c>
      <c r="AE344" s="397">
        <v>375</v>
      </c>
      <c r="AF344" s="398">
        <v>0.1343736739982121</v>
      </c>
      <c r="AG344" s="398">
        <v>0.67200700177180628</v>
      </c>
    </row>
    <row r="345" spans="1:33" x14ac:dyDescent="0.45">
      <c r="A345" s="472"/>
      <c r="B345" s="472"/>
      <c r="C345" s="473"/>
      <c r="D345" s="473"/>
      <c r="E345" s="473"/>
      <c r="F345" s="474"/>
      <c r="G345" s="474"/>
      <c r="H345" s="474"/>
      <c r="I345" s="474"/>
      <c r="J345" s="474"/>
      <c r="K345" s="475"/>
      <c r="AA345" s="120" t="s">
        <v>671</v>
      </c>
      <c r="AB345" s="120" t="s">
        <v>478</v>
      </c>
      <c r="AC345" s="397">
        <v>920</v>
      </c>
      <c r="AD345" s="397">
        <v>343071</v>
      </c>
      <c r="AE345" s="397">
        <v>373</v>
      </c>
      <c r="AF345" s="398">
        <v>0.13816372182696784</v>
      </c>
      <c r="AG345" s="398">
        <v>0.67714304068456443</v>
      </c>
    </row>
    <row r="346" spans="1:33" x14ac:dyDescent="0.45">
      <c r="A346" s="472"/>
      <c r="B346" s="472"/>
      <c r="C346" s="473"/>
      <c r="D346" s="473"/>
      <c r="E346" s="473"/>
      <c r="F346" s="474"/>
      <c r="G346" s="474"/>
      <c r="H346" s="474"/>
      <c r="I346" s="474"/>
      <c r="J346" s="474"/>
      <c r="K346" s="475"/>
      <c r="AA346" s="120" t="s">
        <v>672</v>
      </c>
      <c r="AB346" s="120" t="s">
        <v>478</v>
      </c>
      <c r="AC346" s="397">
        <v>380</v>
      </c>
      <c r="AD346" s="397">
        <v>141771</v>
      </c>
      <c r="AE346" s="397">
        <v>373</v>
      </c>
      <c r="AF346" s="398">
        <v>0.13972917636493218</v>
      </c>
      <c r="AG346" s="398">
        <v>0.6792654624943375</v>
      </c>
    </row>
    <row r="347" spans="1:33" x14ac:dyDescent="0.45">
      <c r="A347" s="472"/>
      <c r="B347" s="472"/>
      <c r="C347" s="473"/>
      <c r="D347" s="473"/>
      <c r="E347" s="473"/>
      <c r="F347" s="474"/>
      <c r="G347" s="474"/>
      <c r="H347" s="474"/>
      <c r="I347" s="474"/>
      <c r="J347" s="474"/>
      <c r="K347" s="475"/>
      <c r="AA347" s="120" t="s">
        <v>673</v>
      </c>
      <c r="AB347" s="120" t="s">
        <v>486</v>
      </c>
      <c r="AC347" s="397">
        <v>279</v>
      </c>
      <c r="AD347" s="397">
        <v>103611</v>
      </c>
      <c r="AE347" s="397">
        <v>371</v>
      </c>
      <c r="AF347" s="398">
        <v>0.1408785495651744</v>
      </c>
      <c r="AG347" s="398">
        <v>0.68081659951200957</v>
      </c>
    </row>
    <row r="348" spans="1:33" x14ac:dyDescent="0.45">
      <c r="A348" s="472"/>
      <c r="B348" s="472"/>
      <c r="C348" s="473"/>
      <c r="D348" s="473"/>
      <c r="E348" s="473"/>
      <c r="F348" s="474"/>
      <c r="G348" s="474"/>
      <c r="H348" s="474"/>
      <c r="I348" s="474"/>
      <c r="J348" s="474"/>
      <c r="K348" s="475"/>
      <c r="AA348" s="120" t="s">
        <v>674</v>
      </c>
      <c r="AB348" s="120" t="s">
        <v>486</v>
      </c>
      <c r="AC348" s="397">
        <v>276</v>
      </c>
      <c r="AD348" s="397">
        <v>101462</v>
      </c>
      <c r="AE348" s="397">
        <v>368</v>
      </c>
      <c r="AF348" s="398">
        <v>0.14201556391380113</v>
      </c>
      <c r="AG348" s="398">
        <v>0.68233556433318732</v>
      </c>
    </row>
    <row r="349" spans="1:33" x14ac:dyDescent="0.45">
      <c r="A349" s="472"/>
      <c r="B349" s="472"/>
      <c r="C349" s="473"/>
      <c r="D349" s="473"/>
      <c r="E349" s="473"/>
      <c r="F349" s="474"/>
      <c r="G349" s="474"/>
      <c r="H349" s="474"/>
      <c r="I349" s="474"/>
      <c r="J349" s="474"/>
      <c r="K349" s="475"/>
      <c r="AA349" s="120" t="s">
        <v>675</v>
      </c>
      <c r="AB349" s="120" t="s">
        <v>486</v>
      </c>
      <c r="AC349" s="397">
        <v>345</v>
      </c>
      <c r="AD349" s="397">
        <v>126328</v>
      </c>
      <c r="AE349" s="397">
        <v>366</v>
      </c>
      <c r="AF349" s="398">
        <v>0.14343683184958453</v>
      </c>
      <c r="AG349" s="398">
        <v>0.68422679245731011</v>
      </c>
    </row>
    <row r="350" spans="1:33" x14ac:dyDescent="0.45">
      <c r="A350" s="472"/>
      <c r="B350" s="472"/>
      <c r="C350" s="473"/>
      <c r="D350" s="473"/>
      <c r="E350" s="473"/>
      <c r="F350" s="474"/>
      <c r="G350" s="474"/>
      <c r="H350" s="474"/>
      <c r="I350" s="474"/>
      <c r="J350" s="474"/>
      <c r="K350" s="475"/>
      <c r="AA350" s="120" t="s">
        <v>676</v>
      </c>
      <c r="AB350" s="120" t="s">
        <v>478</v>
      </c>
      <c r="AC350" s="397">
        <v>476</v>
      </c>
      <c r="AD350" s="397">
        <v>173292</v>
      </c>
      <c r="AE350" s="397">
        <v>364</v>
      </c>
      <c r="AF350" s="398">
        <v>0.14539776963924511</v>
      </c>
      <c r="AG350" s="398">
        <v>0.68682110808080987</v>
      </c>
    </row>
    <row r="351" spans="1:33" x14ac:dyDescent="0.45">
      <c r="A351" s="472"/>
      <c r="B351" s="472"/>
      <c r="C351" s="473"/>
      <c r="D351" s="473"/>
      <c r="E351" s="473"/>
      <c r="F351" s="474"/>
      <c r="G351" s="474"/>
      <c r="H351" s="474"/>
      <c r="I351" s="474"/>
      <c r="J351" s="474"/>
      <c r="K351" s="475"/>
      <c r="AA351" s="120" t="s">
        <v>677</v>
      </c>
      <c r="AB351" s="120" t="s">
        <v>486</v>
      </c>
      <c r="AC351" s="397">
        <v>331</v>
      </c>
      <c r="AD351" s="397">
        <v>118724</v>
      </c>
      <c r="AE351" s="397">
        <v>358</v>
      </c>
      <c r="AF351" s="398">
        <v>0.14676136293415615</v>
      </c>
      <c r="AG351" s="398">
        <v>0.68859849842822574</v>
      </c>
    </row>
    <row r="352" spans="1:33" x14ac:dyDescent="0.45">
      <c r="A352" s="472"/>
      <c r="B352" s="472"/>
      <c r="C352" s="473"/>
      <c r="D352" s="473"/>
      <c r="E352" s="473"/>
      <c r="F352" s="474"/>
      <c r="G352" s="474"/>
      <c r="H352" s="474"/>
      <c r="I352" s="474"/>
      <c r="J352" s="474"/>
      <c r="K352" s="475"/>
      <c r="AA352" s="120" t="s">
        <v>678</v>
      </c>
      <c r="AB352" s="120" t="s">
        <v>486</v>
      </c>
      <c r="AC352" s="397">
        <v>375</v>
      </c>
      <c r="AD352" s="397">
        <v>133570</v>
      </c>
      <c r="AE352" s="397">
        <v>356</v>
      </c>
      <c r="AF352" s="398">
        <v>0.14830621938609465</v>
      </c>
      <c r="AG352" s="398">
        <v>0.69059814490833371</v>
      </c>
    </row>
    <row r="353" spans="1:33" x14ac:dyDescent="0.45">
      <c r="A353" s="472"/>
      <c r="B353" s="472"/>
      <c r="C353" s="473"/>
      <c r="D353" s="473"/>
      <c r="E353" s="473"/>
      <c r="F353" s="474"/>
      <c r="G353" s="474"/>
      <c r="H353" s="474"/>
      <c r="I353" s="474"/>
      <c r="J353" s="474"/>
      <c r="K353" s="475"/>
      <c r="AA353" s="120" t="s">
        <v>679</v>
      </c>
      <c r="AB353" s="120" t="s">
        <v>486</v>
      </c>
      <c r="AC353" s="397">
        <v>248</v>
      </c>
      <c r="AD353" s="397">
        <v>88129</v>
      </c>
      <c r="AE353" s="397">
        <v>355</v>
      </c>
      <c r="AF353" s="398">
        <v>0.14932788445297662</v>
      </c>
      <c r="AG353" s="398">
        <v>0.69191750438011201</v>
      </c>
    </row>
    <row r="354" spans="1:33" x14ac:dyDescent="0.45">
      <c r="A354" s="472"/>
      <c r="B354" s="472"/>
      <c r="C354" s="473"/>
      <c r="D354" s="473"/>
      <c r="E354" s="473"/>
      <c r="F354" s="474"/>
      <c r="G354" s="474"/>
      <c r="H354" s="474"/>
      <c r="I354" s="474"/>
      <c r="J354" s="474"/>
      <c r="K354" s="475"/>
      <c r="AA354" s="120" t="s">
        <v>680</v>
      </c>
      <c r="AB354" s="120" t="s">
        <v>478</v>
      </c>
      <c r="AC354" s="397">
        <v>440</v>
      </c>
      <c r="AD354" s="397">
        <v>156100</v>
      </c>
      <c r="AE354" s="397">
        <v>355</v>
      </c>
      <c r="AF354" s="398">
        <v>0.15114051602325113</v>
      </c>
      <c r="AG354" s="398">
        <v>0.6942544424316569</v>
      </c>
    </row>
    <row r="355" spans="1:33" x14ac:dyDescent="0.45">
      <c r="A355" s="472"/>
      <c r="B355" s="472"/>
      <c r="C355" s="473"/>
      <c r="D355" s="473"/>
      <c r="E355" s="473"/>
      <c r="F355" s="474"/>
      <c r="G355" s="474"/>
      <c r="H355" s="474"/>
      <c r="I355" s="474"/>
      <c r="J355" s="474"/>
      <c r="K355" s="475"/>
      <c r="AA355" s="120" t="s">
        <v>681</v>
      </c>
      <c r="AB355" s="120" t="s">
        <v>486</v>
      </c>
      <c r="AC355" s="397">
        <v>292</v>
      </c>
      <c r="AD355" s="397">
        <v>103268</v>
      </c>
      <c r="AE355" s="397">
        <v>354</v>
      </c>
      <c r="AF355" s="398">
        <v>0.15234344424716056</v>
      </c>
      <c r="AG355" s="398">
        <v>0.69580044447334133</v>
      </c>
    </row>
    <row r="356" spans="1:33" x14ac:dyDescent="0.45">
      <c r="A356" s="472"/>
      <c r="B356" s="472"/>
      <c r="C356" s="473"/>
      <c r="D356" s="473"/>
      <c r="E356" s="473"/>
      <c r="F356" s="474"/>
      <c r="G356" s="474"/>
      <c r="H356" s="474"/>
      <c r="I356" s="474"/>
      <c r="J356" s="474"/>
      <c r="K356" s="475"/>
      <c r="AA356" s="120" t="s">
        <v>682</v>
      </c>
      <c r="AB356" s="120" t="s">
        <v>478</v>
      </c>
      <c r="AC356" s="397">
        <v>1565</v>
      </c>
      <c r="AD356" s="397">
        <v>543973</v>
      </c>
      <c r="AE356" s="397">
        <v>348</v>
      </c>
      <c r="AF356" s="398">
        <v>0.15879064517325051</v>
      </c>
      <c r="AG356" s="398">
        <v>0.70394414212044598</v>
      </c>
    </row>
    <row r="357" spans="1:33" x14ac:dyDescent="0.45">
      <c r="A357" s="472"/>
      <c r="B357" s="472"/>
      <c r="C357" s="473"/>
      <c r="D357" s="473"/>
      <c r="E357" s="473"/>
      <c r="F357" s="474"/>
      <c r="G357" s="474"/>
      <c r="H357" s="474"/>
      <c r="I357" s="474"/>
      <c r="J357" s="474"/>
      <c r="K357" s="475"/>
      <c r="AA357" s="120" t="s">
        <v>683</v>
      </c>
      <c r="AB357" s="120" t="s">
        <v>486</v>
      </c>
      <c r="AC357" s="397">
        <v>258</v>
      </c>
      <c r="AD357" s="397">
        <v>87245</v>
      </c>
      <c r="AE357" s="397">
        <v>338</v>
      </c>
      <c r="AF357" s="398">
        <v>0.15985350641218418</v>
      </c>
      <c r="AG357" s="398">
        <v>0.70525026742670505</v>
      </c>
    </row>
    <row r="358" spans="1:33" x14ac:dyDescent="0.45">
      <c r="A358" s="472"/>
      <c r="B358" s="472"/>
      <c r="C358" s="473"/>
      <c r="D358" s="473"/>
      <c r="E358" s="473"/>
      <c r="F358" s="474"/>
      <c r="G358" s="474"/>
      <c r="H358" s="474"/>
      <c r="I358" s="474"/>
      <c r="J358" s="474"/>
      <c r="K358" s="475"/>
      <c r="AA358" s="120" t="s">
        <v>684</v>
      </c>
      <c r="AB358" s="120" t="s">
        <v>486</v>
      </c>
      <c r="AC358" s="397">
        <v>347</v>
      </c>
      <c r="AD358" s="397">
        <v>114306</v>
      </c>
      <c r="AE358" s="397">
        <v>330</v>
      </c>
      <c r="AF358" s="398">
        <v>0.16128301358237793</v>
      </c>
      <c r="AG358" s="398">
        <v>0.70696151688807518</v>
      </c>
    </row>
    <row r="359" spans="1:33" x14ac:dyDescent="0.45">
      <c r="A359" s="472"/>
      <c r="B359" s="472"/>
      <c r="C359" s="473"/>
      <c r="D359" s="473"/>
      <c r="E359" s="473"/>
      <c r="F359" s="474"/>
      <c r="G359" s="474"/>
      <c r="H359" s="474"/>
      <c r="I359" s="474"/>
      <c r="J359" s="474"/>
      <c r="K359" s="475"/>
      <c r="AA359" s="120" t="s">
        <v>685</v>
      </c>
      <c r="AB359" s="120" t="s">
        <v>478</v>
      </c>
      <c r="AC359" s="397">
        <v>1166</v>
      </c>
      <c r="AD359" s="397">
        <v>384152</v>
      </c>
      <c r="AE359" s="397">
        <v>329</v>
      </c>
      <c r="AF359" s="398">
        <v>0.16608648724360534</v>
      </c>
      <c r="AG359" s="398">
        <v>0.71271257022809487</v>
      </c>
    </row>
    <row r="360" spans="1:33" x14ac:dyDescent="0.45">
      <c r="A360" s="472"/>
      <c r="B360" s="472"/>
      <c r="C360" s="473"/>
      <c r="D360" s="473"/>
      <c r="E360" s="473"/>
      <c r="F360" s="474"/>
      <c r="G360" s="474"/>
      <c r="H360" s="474"/>
      <c r="I360" s="474"/>
      <c r="J360" s="474"/>
      <c r="K360" s="475"/>
      <c r="AA360" s="120" t="s">
        <v>686</v>
      </c>
      <c r="AB360" s="120" t="s">
        <v>486</v>
      </c>
      <c r="AC360" s="397">
        <v>369</v>
      </c>
      <c r="AD360" s="397">
        <v>120750</v>
      </c>
      <c r="AE360" s="397">
        <v>327</v>
      </c>
      <c r="AF360" s="398">
        <v>0.1676066259923128</v>
      </c>
      <c r="AG360" s="398">
        <v>0.71452029136662176</v>
      </c>
    </row>
    <row r="361" spans="1:33" x14ac:dyDescent="0.45">
      <c r="A361" s="472"/>
      <c r="B361" s="472"/>
      <c r="C361" s="473"/>
      <c r="D361" s="473"/>
      <c r="E361" s="473"/>
      <c r="F361" s="474"/>
      <c r="G361" s="474"/>
      <c r="H361" s="474"/>
      <c r="I361" s="474"/>
      <c r="J361" s="474"/>
      <c r="K361" s="475"/>
      <c r="AA361" s="120" t="s">
        <v>687</v>
      </c>
      <c r="AB361" s="120" t="s">
        <v>478</v>
      </c>
      <c r="AC361" s="397">
        <v>441</v>
      </c>
      <c r="AD361" s="397">
        <v>143315</v>
      </c>
      <c r="AE361" s="397">
        <v>325</v>
      </c>
      <c r="AF361" s="398">
        <v>0.16942337717979244</v>
      </c>
      <c r="AG361" s="398">
        <v>0.71666582805372714</v>
      </c>
    </row>
    <row r="362" spans="1:33" x14ac:dyDescent="0.45">
      <c r="A362" s="472"/>
      <c r="B362" s="472"/>
      <c r="C362" s="473"/>
      <c r="D362" s="473"/>
      <c r="E362" s="473"/>
      <c r="F362" s="474"/>
      <c r="G362" s="474"/>
      <c r="H362" s="474"/>
      <c r="I362" s="474"/>
      <c r="J362" s="474"/>
      <c r="K362" s="475"/>
      <c r="AA362" s="120" t="s">
        <v>688</v>
      </c>
      <c r="AB362" s="120" t="s">
        <v>499</v>
      </c>
      <c r="AC362" s="397">
        <v>159</v>
      </c>
      <c r="AD362" s="397">
        <v>51540</v>
      </c>
      <c r="AE362" s="397">
        <v>324</v>
      </c>
      <c r="AF362" s="398">
        <v>0.17007839631541438</v>
      </c>
      <c r="AG362" s="398">
        <v>0.7174374218216748</v>
      </c>
    </row>
    <row r="363" spans="1:33" x14ac:dyDescent="0.45">
      <c r="A363" s="472"/>
      <c r="B363" s="472"/>
      <c r="C363" s="473"/>
      <c r="D363" s="473"/>
      <c r="E363" s="473"/>
      <c r="F363" s="474"/>
      <c r="G363" s="474"/>
      <c r="H363" s="474"/>
      <c r="I363" s="474"/>
      <c r="J363" s="474"/>
      <c r="K363" s="475"/>
      <c r="AA363" s="120" t="s">
        <v>689</v>
      </c>
      <c r="AB363" s="120" t="s">
        <v>486</v>
      </c>
      <c r="AC363" s="397">
        <v>338</v>
      </c>
      <c r="AD363" s="397">
        <v>107261</v>
      </c>
      <c r="AE363" s="397">
        <v>317</v>
      </c>
      <c r="AF363" s="398">
        <v>0.1714708269307616</v>
      </c>
      <c r="AG363" s="398">
        <v>0.71904320216982831</v>
      </c>
    </row>
    <row r="364" spans="1:33" x14ac:dyDescent="0.45">
      <c r="A364" s="472"/>
      <c r="B364" s="472"/>
      <c r="C364" s="473"/>
      <c r="D364" s="473"/>
      <c r="E364" s="473"/>
      <c r="F364" s="474"/>
      <c r="G364" s="474"/>
      <c r="H364" s="474"/>
      <c r="I364" s="474"/>
      <c r="J364" s="474"/>
      <c r="K364" s="475"/>
      <c r="AA364" s="120" t="s">
        <v>690</v>
      </c>
      <c r="AB364" s="120" t="s">
        <v>486</v>
      </c>
      <c r="AC364" s="397">
        <v>357</v>
      </c>
      <c r="AD364" s="397">
        <v>112996</v>
      </c>
      <c r="AE364" s="397">
        <v>317</v>
      </c>
      <c r="AF364" s="398">
        <v>0.17294153027300704</v>
      </c>
      <c r="AG364" s="398">
        <v>0.72073483991532705</v>
      </c>
    </row>
    <row r="365" spans="1:33" x14ac:dyDescent="0.45">
      <c r="A365" s="472"/>
      <c r="B365" s="472"/>
      <c r="C365" s="473"/>
      <c r="D365" s="473"/>
      <c r="E365" s="473"/>
      <c r="F365" s="474"/>
      <c r="G365" s="474"/>
      <c r="H365" s="474"/>
      <c r="I365" s="474"/>
      <c r="J365" s="474"/>
      <c r="K365" s="475"/>
      <c r="AA365" s="120" t="s">
        <v>691</v>
      </c>
      <c r="AB365" s="120" t="s">
        <v>486</v>
      </c>
      <c r="AC365" s="397">
        <v>331</v>
      </c>
      <c r="AD365" s="397">
        <v>104756</v>
      </c>
      <c r="AE365" s="397">
        <v>316</v>
      </c>
      <c r="AF365" s="398">
        <v>0.17430512356791808</v>
      </c>
      <c r="AG365" s="398">
        <v>0.72230311847091733</v>
      </c>
    </row>
    <row r="366" spans="1:33" x14ac:dyDescent="0.45">
      <c r="A366" s="472"/>
      <c r="B366" s="472"/>
      <c r="C366" s="473"/>
      <c r="D366" s="473"/>
      <c r="E366" s="473"/>
      <c r="F366" s="474"/>
      <c r="G366" s="474"/>
      <c r="H366" s="474"/>
      <c r="I366" s="474"/>
      <c r="J366" s="474"/>
      <c r="K366" s="475"/>
      <c r="AA366" s="120" t="s">
        <v>692</v>
      </c>
      <c r="AB366" s="120" t="s">
        <v>486</v>
      </c>
      <c r="AC366" s="397">
        <v>476</v>
      </c>
      <c r="AD366" s="397">
        <v>149748</v>
      </c>
      <c r="AE366" s="397">
        <v>315</v>
      </c>
      <c r="AF366" s="398">
        <v>0.17626606135757866</v>
      </c>
      <c r="AG366" s="398">
        <v>0.72454496215664921</v>
      </c>
    </row>
    <row r="367" spans="1:33" x14ac:dyDescent="0.45">
      <c r="A367" s="472"/>
      <c r="B367" s="472"/>
      <c r="C367" s="473"/>
      <c r="D367" s="473"/>
      <c r="E367" s="473"/>
      <c r="F367" s="473"/>
      <c r="G367" s="473"/>
      <c r="H367" s="473"/>
      <c r="I367" s="473"/>
      <c r="J367" s="473"/>
      <c r="K367" s="475"/>
      <c r="AA367" s="120" t="s">
        <v>693</v>
      </c>
      <c r="AB367" s="120" t="s">
        <v>486</v>
      </c>
      <c r="AC367" s="397">
        <v>351</v>
      </c>
      <c r="AD367" s="397">
        <v>108935</v>
      </c>
      <c r="AE367" s="397">
        <v>310</v>
      </c>
      <c r="AF367" s="398">
        <v>0.17771204699659307</v>
      </c>
      <c r="AG367" s="398">
        <v>0.72617580358294676</v>
      </c>
    </row>
    <row r="368" spans="1:33" x14ac:dyDescent="0.45">
      <c r="A368" s="472"/>
      <c r="B368" s="472"/>
      <c r="C368" s="473"/>
      <c r="D368" s="473"/>
      <c r="E368" s="473"/>
      <c r="F368" s="474"/>
      <c r="G368" s="474"/>
      <c r="H368" s="474"/>
      <c r="I368" s="474"/>
      <c r="J368" s="474"/>
      <c r="K368" s="475"/>
      <c r="AA368" s="120" t="s">
        <v>694</v>
      </c>
      <c r="AB368" s="120" t="s">
        <v>486</v>
      </c>
      <c r="AC368" s="397">
        <v>387</v>
      </c>
      <c r="AD368" s="397">
        <v>119754</v>
      </c>
      <c r="AE368" s="397">
        <v>309</v>
      </c>
      <c r="AF368" s="398">
        <v>0.17930633885499359</v>
      </c>
      <c r="AG368" s="398">
        <v>0.72796861382910116</v>
      </c>
    </row>
    <row r="369" spans="1:33" x14ac:dyDescent="0.45">
      <c r="A369" s="472"/>
      <c r="B369" s="472"/>
      <c r="C369" s="473"/>
      <c r="D369" s="473"/>
      <c r="E369" s="473"/>
      <c r="F369" s="474"/>
      <c r="G369" s="474"/>
      <c r="H369" s="474"/>
      <c r="I369" s="474"/>
      <c r="J369" s="474"/>
      <c r="K369" s="475"/>
      <c r="AA369" s="120" t="s">
        <v>695</v>
      </c>
      <c r="AB369" s="120" t="s">
        <v>486</v>
      </c>
      <c r="AC369" s="397">
        <v>409</v>
      </c>
      <c r="AD369" s="397">
        <v>119184</v>
      </c>
      <c r="AE369" s="397">
        <v>291</v>
      </c>
      <c r="AF369" s="398">
        <v>0.18099126229190785</v>
      </c>
      <c r="AG369" s="398">
        <v>0.72975289073323524</v>
      </c>
    </row>
    <row r="370" spans="1:33" x14ac:dyDescent="0.45">
      <c r="A370" s="472"/>
      <c r="B370" s="472"/>
      <c r="C370" s="473"/>
      <c r="D370" s="473"/>
      <c r="E370" s="473"/>
      <c r="F370" s="474"/>
      <c r="G370" s="474"/>
      <c r="H370" s="474"/>
      <c r="I370" s="474"/>
      <c r="J370" s="474"/>
      <c r="K370" s="475"/>
      <c r="AA370" s="120" t="s">
        <v>696</v>
      </c>
      <c r="AB370" s="120" t="s">
        <v>529</v>
      </c>
      <c r="AC370" s="397">
        <v>506</v>
      </c>
      <c r="AD370" s="397">
        <v>146002</v>
      </c>
      <c r="AE370" s="397">
        <v>289</v>
      </c>
      <c r="AF370" s="398">
        <v>0.1830757885977235</v>
      </c>
      <c r="AG370" s="398">
        <v>0.73193865389404023</v>
      </c>
    </row>
    <row r="371" spans="1:33" x14ac:dyDescent="0.45">
      <c r="A371" s="472"/>
      <c r="B371" s="472"/>
      <c r="C371" s="473"/>
      <c r="D371" s="473"/>
      <c r="E371" s="473"/>
      <c r="F371" s="474"/>
      <c r="G371" s="474"/>
      <c r="H371" s="474"/>
      <c r="I371" s="474"/>
      <c r="J371" s="474"/>
      <c r="K371" s="475"/>
      <c r="AA371" s="120" t="s">
        <v>697</v>
      </c>
      <c r="AB371" s="120" t="s">
        <v>529</v>
      </c>
      <c r="AC371" s="397">
        <v>566</v>
      </c>
      <c r="AD371" s="397">
        <v>161725</v>
      </c>
      <c r="AE371" s="397">
        <v>285</v>
      </c>
      <c r="AF371" s="398">
        <v>0.18540749193584932</v>
      </c>
      <c r="AG371" s="398">
        <v>0.73435980255762823</v>
      </c>
    </row>
    <row r="372" spans="1:33" x14ac:dyDescent="0.45">
      <c r="A372" s="472"/>
      <c r="B372" s="472"/>
      <c r="C372" s="473"/>
      <c r="D372" s="473"/>
      <c r="E372" s="473"/>
      <c r="F372" s="474"/>
      <c r="G372" s="474"/>
      <c r="H372" s="474"/>
      <c r="I372" s="474"/>
      <c r="J372" s="474"/>
      <c r="K372" s="475"/>
      <c r="AA372" s="120" t="s">
        <v>698</v>
      </c>
      <c r="AB372" s="120" t="s">
        <v>499</v>
      </c>
      <c r="AC372" s="397">
        <v>1325</v>
      </c>
      <c r="AD372" s="397">
        <v>373550</v>
      </c>
      <c r="AE372" s="397">
        <v>282</v>
      </c>
      <c r="AF372" s="398">
        <v>0.19086598473269864</v>
      </c>
      <c r="AG372" s="398">
        <v>0.73995213573606899</v>
      </c>
    </row>
    <row r="373" spans="1:33" x14ac:dyDescent="0.45">
      <c r="A373" s="472"/>
      <c r="B373" s="472"/>
      <c r="C373" s="473"/>
      <c r="D373" s="473"/>
      <c r="E373" s="473"/>
      <c r="F373" s="474"/>
      <c r="G373" s="474"/>
      <c r="H373" s="474"/>
      <c r="I373" s="474"/>
      <c r="J373" s="474"/>
      <c r="K373" s="475"/>
      <c r="AA373" s="120" t="s">
        <v>699</v>
      </c>
      <c r="AB373" s="120" t="s">
        <v>486</v>
      </c>
      <c r="AC373" s="397">
        <v>634</v>
      </c>
      <c r="AD373" s="397">
        <v>176582</v>
      </c>
      <c r="AE373" s="397">
        <v>279</v>
      </c>
      <c r="AF373" s="398">
        <v>0.19347782204077596</v>
      </c>
      <c r="AG373" s="398">
        <v>0.74259570521087936</v>
      </c>
    </row>
    <row r="374" spans="1:33" x14ac:dyDescent="0.45">
      <c r="A374" s="472"/>
      <c r="B374" s="472"/>
      <c r="C374" s="473"/>
      <c r="D374" s="473"/>
      <c r="E374" s="473"/>
      <c r="F374" s="474"/>
      <c r="G374" s="474"/>
      <c r="H374" s="474"/>
      <c r="I374" s="474"/>
      <c r="J374" s="474"/>
      <c r="K374" s="475"/>
      <c r="AA374" s="120" t="s">
        <v>700</v>
      </c>
      <c r="AB374" s="120" t="s">
        <v>486</v>
      </c>
      <c r="AC374" s="397">
        <v>407</v>
      </c>
      <c r="AD374" s="397">
        <v>112436</v>
      </c>
      <c r="AE374" s="397">
        <v>276</v>
      </c>
      <c r="AF374" s="398">
        <v>0.19515450624327987</v>
      </c>
      <c r="AG374" s="398">
        <v>0.74427895932211252</v>
      </c>
    </row>
    <row r="375" spans="1:33" x14ac:dyDescent="0.45">
      <c r="A375" s="472"/>
      <c r="B375" s="472"/>
      <c r="C375" s="473"/>
      <c r="D375" s="473"/>
      <c r="E375" s="473"/>
      <c r="F375" s="474"/>
      <c r="G375" s="474"/>
      <c r="H375" s="474"/>
      <c r="I375" s="474"/>
      <c r="J375" s="474"/>
      <c r="K375" s="475"/>
      <c r="AA375" s="120" t="s">
        <v>701</v>
      </c>
      <c r="AB375" s="120" t="s">
        <v>486</v>
      </c>
      <c r="AC375" s="397">
        <v>530</v>
      </c>
      <c r="AD375" s="397">
        <v>143791</v>
      </c>
      <c r="AE375" s="397">
        <v>271</v>
      </c>
      <c r="AF375" s="398">
        <v>0.19733790336201959</v>
      </c>
      <c r="AG375" s="398">
        <v>0.74643162209834368</v>
      </c>
    </row>
    <row r="376" spans="1:33" x14ac:dyDescent="0.45">
      <c r="A376" s="472"/>
      <c r="B376" s="472"/>
      <c r="C376" s="473"/>
      <c r="D376" s="473"/>
      <c r="E376" s="473"/>
      <c r="F376" s="474"/>
      <c r="G376" s="474"/>
      <c r="H376" s="474"/>
      <c r="I376" s="474"/>
      <c r="J376" s="474"/>
      <c r="K376" s="475"/>
      <c r="AA376" s="120" t="s">
        <v>702</v>
      </c>
      <c r="AB376" s="120" t="s">
        <v>478</v>
      </c>
      <c r="AC376" s="397">
        <v>504</v>
      </c>
      <c r="AD376" s="397">
        <v>135957</v>
      </c>
      <c r="AE376" s="397">
        <v>270</v>
      </c>
      <c r="AF376" s="398">
        <v>0.19941419043342493</v>
      </c>
      <c r="AG376" s="398">
        <v>0.74846700381950892</v>
      </c>
    </row>
    <row r="377" spans="1:33" x14ac:dyDescent="0.45">
      <c r="A377" s="472"/>
      <c r="B377" s="472"/>
      <c r="C377" s="473"/>
      <c r="D377" s="473"/>
      <c r="E377" s="473"/>
      <c r="F377" s="474"/>
      <c r="G377" s="474"/>
      <c r="H377" s="474"/>
      <c r="I377" s="474"/>
      <c r="J377" s="474"/>
      <c r="K377" s="475"/>
      <c r="AA377" s="120" t="s">
        <v>703</v>
      </c>
      <c r="AB377" s="120" t="s">
        <v>499</v>
      </c>
      <c r="AC377" s="397">
        <v>354</v>
      </c>
      <c r="AD377" s="397">
        <v>92460</v>
      </c>
      <c r="AE377" s="397">
        <v>261</v>
      </c>
      <c r="AF377" s="398">
        <v>0.20087253492405485</v>
      </c>
      <c r="AG377" s="398">
        <v>0.74985120171986663</v>
      </c>
    </row>
    <row r="378" spans="1:33" x14ac:dyDescent="0.45">
      <c r="A378" s="472"/>
      <c r="B378" s="472"/>
      <c r="C378" s="473"/>
      <c r="D378" s="473"/>
      <c r="E378" s="473"/>
      <c r="F378" s="474"/>
      <c r="G378" s="474"/>
      <c r="H378" s="474"/>
      <c r="I378" s="474"/>
      <c r="J378" s="474"/>
      <c r="K378" s="475"/>
      <c r="AA378" s="120" t="s">
        <v>704</v>
      </c>
      <c r="AB378" s="120" t="s">
        <v>486</v>
      </c>
      <c r="AC378" s="397">
        <v>461</v>
      </c>
      <c r="AD378" s="397">
        <v>119964</v>
      </c>
      <c r="AE378" s="397">
        <v>260</v>
      </c>
      <c r="AF378" s="398">
        <v>0.2027716784556379</v>
      </c>
      <c r="AG378" s="398">
        <v>0.75164715582887065</v>
      </c>
    </row>
    <row r="379" spans="1:33" x14ac:dyDescent="0.45">
      <c r="A379" s="472"/>
      <c r="B379" s="472"/>
      <c r="C379" s="473"/>
      <c r="D379" s="473"/>
      <c r="E379" s="473"/>
      <c r="F379" s="474"/>
      <c r="G379" s="474"/>
      <c r="H379" s="474"/>
      <c r="I379" s="474"/>
      <c r="J379" s="474"/>
      <c r="K379" s="475"/>
      <c r="AA379" s="120" t="s">
        <v>705</v>
      </c>
      <c r="AB379" s="120" t="s">
        <v>486</v>
      </c>
      <c r="AC379" s="397">
        <v>567</v>
      </c>
      <c r="AD379" s="397">
        <v>146038</v>
      </c>
      <c r="AE379" s="397">
        <v>258</v>
      </c>
      <c r="AF379" s="398">
        <v>0.2051075014109689</v>
      </c>
      <c r="AG379" s="398">
        <v>0.75383345793759271</v>
      </c>
    </row>
    <row r="380" spans="1:33" x14ac:dyDescent="0.45">
      <c r="A380" s="472"/>
      <c r="B380" s="472"/>
      <c r="C380" s="473"/>
      <c r="D380" s="473"/>
      <c r="E380" s="473"/>
      <c r="F380" s="474"/>
      <c r="G380" s="474"/>
      <c r="H380" s="474"/>
      <c r="I380" s="474"/>
      <c r="J380" s="474"/>
      <c r="K380" s="475"/>
      <c r="AA380" s="120" t="s">
        <v>706</v>
      </c>
      <c r="AB380" s="120" t="s">
        <v>486</v>
      </c>
      <c r="AC380" s="397">
        <v>589</v>
      </c>
      <c r="AD380" s="397">
        <v>150503</v>
      </c>
      <c r="AE380" s="397">
        <v>256</v>
      </c>
      <c r="AF380" s="398">
        <v>0.20753395594481361</v>
      </c>
      <c r="AG380" s="398">
        <v>0.75608660455880772</v>
      </c>
    </row>
    <row r="381" spans="1:33" x14ac:dyDescent="0.45">
      <c r="A381" s="472"/>
      <c r="B381" s="472"/>
      <c r="C381" s="473"/>
      <c r="D381" s="473"/>
      <c r="E381" s="473"/>
      <c r="F381" s="474"/>
      <c r="G381" s="474"/>
      <c r="H381" s="474"/>
      <c r="I381" s="474"/>
      <c r="J381" s="474"/>
      <c r="K381" s="475"/>
      <c r="AA381" s="120" t="s">
        <v>707</v>
      </c>
      <c r="AB381" s="120" t="s">
        <v>529</v>
      </c>
      <c r="AC381" s="397">
        <v>571</v>
      </c>
      <c r="AD381" s="397">
        <v>143504</v>
      </c>
      <c r="AE381" s="397">
        <v>251</v>
      </c>
      <c r="AF381" s="398">
        <v>0.20988625736896527</v>
      </c>
      <c r="AG381" s="398">
        <v>0.75823497072247781</v>
      </c>
    </row>
    <row r="382" spans="1:33" x14ac:dyDescent="0.45">
      <c r="A382" s="472"/>
      <c r="B382" s="472"/>
      <c r="C382" s="473"/>
      <c r="D382" s="473"/>
      <c r="E382" s="473"/>
      <c r="F382" s="474"/>
      <c r="G382" s="474"/>
      <c r="H382" s="474"/>
      <c r="I382" s="474"/>
      <c r="J382" s="474"/>
      <c r="K382" s="475"/>
      <c r="AA382" s="120" t="s">
        <v>708</v>
      </c>
      <c r="AB382" s="120" t="s">
        <v>486</v>
      </c>
      <c r="AC382" s="397">
        <v>612</v>
      </c>
      <c r="AD382" s="397">
        <v>152604</v>
      </c>
      <c r="AE382" s="397">
        <v>249</v>
      </c>
      <c r="AF382" s="398">
        <v>0.2124074630985289</v>
      </c>
      <c r="AG382" s="398">
        <v>0.76051957094296441</v>
      </c>
    </row>
    <row r="383" spans="1:33" x14ac:dyDescent="0.45">
      <c r="A383" s="472"/>
      <c r="B383" s="472"/>
      <c r="C383" s="473"/>
      <c r="D383" s="473"/>
      <c r="E383" s="473"/>
      <c r="F383" s="474"/>
      <c r="G383" s="474"/>
      <c r="H383" s="474"/>
      <c r="I383" s="474"/>
      <c r="J383" s="474"/>
      <c r="K383" s="475"/>
      <c r="AA383" s="120" t="s">
        <v>709</v>
      </c>
      <c r="AB383" s="120" t="s">
        <v>486</v>
      </c>
      <c r="AC383" s="397">
        <v>752</v>
      </c>
      <c r="AD383" s="397">
        <v>180086</v>
      </c>
      <c r="AE383" s="397">
        <v>239</v>
      </c>
      <c r="AF383" s="398">
        <v>0.21550541523681618</v>
      </c>
      <c r="AG383" s="398">
        <v>0.76321559801503691</v>
      </c>
    </row>
    <row r="384" spans="1:33" x14ac:dyDescent="0.45">
      <c r="A384" s="472"/>
      <c r="B384" s="472"/>
      <c r="C384" s="473"/>
      <c r="D384" s="473"/>
      <c r="E384" s="473"/>
      <c r="F384" s="474"/>
      <c r="G384" s="474"/>
      <c r="H384" s="474"/>
      <c r="I384" s="474"/>
      <c r="J384" s="474"/>
      <c r="K384" s="475"/>
      <c r="AA384" s="120" t="s">
        <v>710</v>
      </c>
      <c r="AB384" s="120" t="s">
        <v>486</v>
      </c>
      <c r="AC384" s="397">
        <v>514</v>
      </c>
      <c r="AD384" s="397">
        <v>122308</v>
      </c>
      <c r="AE384" s="397">
        <v>238</v>
      </c>
      <c r="AF384" s="398">
        <v>0.21762289848027322</v>
      </c>
      <c r="AG384" s="398">
        <v>0.76504664362175279</v>
      </c>
    </row>
    <row r="385" spans="1:33" x14ac:dyDescent="0.45">
      <c r="A385" s="472"/>
      <c r="B385" s="472"/>
      <c r="C385" s="473"/>
      <c r="D385" s="473"/>
      <c r="E385" s="473"/>
      <c r="F385" s="474"/>
      <c r="G385" s="474"/>
      <c r="H385" s="474"/>
      <c r="I385" s="474"/>
      <c r="J385" s="474"/>
      <c r="K385" s="475"/>
      <c r="AA385" s="120" t="s">
        <v>711</v>
      </c>
      <c r="AB385" s="120" t="s">
        <v>478</v>
      </c>
      <c r="AC385" s="397">
        <v>2226</v>
      </c>
      <c r="AD385" s="397">
        <v>530094</v>
      </c>
      <c r="AE385" s="397">
        <v>238</v>
      </c>
      <c r="AF385" s="398">
        <v>0.22679316637898006</v>
      </c>
      <c r="AG385" s="398">
        <v>0.77298256187604897</v>
      </c>
    </row>
    <row r="386" spans="1:33" x14ac:dyDescent="0.45">
      <c r="A386" s="472"/>
      <c r="B386" s="472"/>
      <c r="C386" s="473"/>
      <c r="D386" s="473"/>
      <c r="E386" s="473"/>
      <c r="F386" s="474"/>
      <c r="G386" s="474"/>
      <c r="H386" s="474"/>
      <c r="I386" s="474"/>
      <c r="J386" s="474"/>
      <c r="K386" s="475"/>
      <c r="AA386" s="120" t="s">
        <v>712</v>
      </c>
      <c r="AB386" s="120" t="s">
        <v>486</v>
      </c>
      <c r="AC386" s="397">
        <v>552</v>
      </c>
      <c r="AD386" s="397">
        <v>130783</v>
      </c>
      <c r="AE386" s="397">
        <v>237</v>
      </c>
      <c r="AF386" s="398">
        <v>0.22906719507623352</v>
      </c>
      <c r="AG386" s="398">
        <v>0.77494048480490996</v>
      </c>
    </row>
    <row r="387" spans="1:33" x14ac:dyDescent="0.45">
      <c r="A387" s="472"/>
      <c r="B387" s="472"/>
      <c r="C387" s="473"/>
      <c r="D387" s="473"/>
      <c r="E387" s="473"/>
      <c r="F387" s="474"/>
      <c r="G387" s="474"/>
      <c r="H387" s="474"/>
      <c r="I387" s="474"/>
      <c r="J387" s="474"/>
      <c r="K387" s="475"/>
      <c r="AA387" s="120" t="s">
        <v>713</v>
      </c>
      <c r="AB387" s="120" t="s">
        <v>486</v>
      </c>
      <c r="AC387" s="397">
        <v>578</v>
      </c>
      <c r="AD387" s="397">
        <v>136007</v>
      </c>
      <c r="AE387" s="397">
        <v>235</v>
      </c>
      <c r="AF387" s="398">
        <v>0.23144833382082136</v>
      </c>
      <c r="AG387" s="398">
        <v>0.77697661506484883</v>
      </c>
    </row>
    <row r="388" spans="1:33" x14ac:dyDescent="0.45">
      <c r="A388" s="472"/>
      <c r="B388" s="472"/>
      <c r="C388" s="473"/>
      <c r="D388" s="473"/>
      <c r="E388" s="473"/>
      <c r="F388" s="474"/>
      <c r="G388" s="474"/>
      <c r="H388" s="474"/>
      <c r="I388" s="474"/>
      <c r="J388" s="474"/>
      <c r="K388" s="475"/>
      <c r="AA388" s="120" t="s">
        <v>714</v>
      </c>
      <c r="AB388" s="120" t="s">
        <v>486</v>
      </c>
      <c r="AC388" s="397">
        <v>284</v>
      </c>
      <c r="AD388" s="397">
        <v>65264</v>
      </c>
      <c r="AE388" s="397">
        <v>230</v>
      </c>
      <c r="AF388" s="398">
        <v>0.23261830510708945</v>
      </c>
      <c r="AG388" s="398">
        <v>0.77795366775540631</v>
      </c>
    </row>
    <row r="389" spans="1:33" x14ac:dyDescent="0.45">
      <c r="A389" s="472"/>
      <c r="B389" s="472"/>
      <c r="C389" s="473"/>
      <c r="D389" s="473"/>
      <c r="E389" s="473"/>
      <c r="F389" s="474"/>
      <c r="G389" s="474"/>
      <c r="H389" s="474"/>
      <c r="I389" s="474"/>
      <c r="J389" s="474"/>
      <c r="K389" s="475"/>
      <c r="AA389" s="120" t="s">
        <v>715</v>
      </c>
      <c r="AB389" s="120" t="s">
        <v>486</v>
      </c>
      <c r="AC389" s="397">
        <v>598</v>
      </c>
      <c r="AD389" s="397">
        <v>137280</v>
      </c>
      <c r="AE389" s="397">
        <v>229</v>
      </c>
      <c r="AF389" s="398">
        <v>0.23508183619578069</v>
      </c>
      <c r="AG389" s="398">
        <v>0.7800088558125241</v>
      </c>
    </row>
    <row r="390" spans="1:33" x14ac:dyDescent="0.45">
      <c r="A390" s="472"/>
      <c r="B390" s="472"/>
      <c r="C390" s="473"/>
      <c r="D390" s="473"/>
      <c r="E390" s="473"/>
      <c r="F390" s="474"/>
      <c r="G390" s="474"/>
      <c r="H390" s="474"/>
      <c r="I390" s="474"/>
      <c r="J390" s="474"/>
      <c r="K390" s="475"/>
      <c r="AA390" s="120" t="s">
        <v>716</v>
      </c>
      <c r="AB390" s="120" t="s">
        <v>486</v>
      </c>
      <c r="AC390" s="397">
        <v>414</v>
      </c>
      <c r="AD390" s="397">
        <v>95019</v>
      </c>
      <c r="AE390" s="397">
        <v>229</v>
      </c>
      <c r="AF390" s="398">
        <v>0.23678735771872078</v>
      </c>
      <c r="AG390" s="398">
        <v>0.78143136392732071</v>
      </c>
    </row>
    <row r="391" spans="1:33" x14ac:dyDescent="0.45">
      <c r="A391" s="472"/>
      <c r="B391" s="472"/>
      <c r="C391" s="473"/>
      <c r="D391" s="473"/>
      <c r="E391" s="473"/>
      <c r="F391" s="474"/>
      <c r="G391" s="474"/>
      <c r="H391" s="474"/>
      <c r="I391" s="474"/>
      <c r="J391" s="474"/>
      <c r="K391" s="475"/>
      <c r="AA391" s="120" t="s">
        <v>717</v>
      </c>
      <c r="AB391" s="120" t="s">
        <v>478</v>
      </c>
      <c r="AC391" s="397">
        <v>704</v>
      </c>
      <c r="AD391" s="397">
        <v>158450</v>
      </c>
      <c r="AE391" s="397">
        <v>225</v>
      </c>
      <c r="AF391" s="398">
        <v>0.23968756823115997</v>
      </c>
      <c r="AG391" s="398">
        <v>0.78380348330123029</v>
      </c>
    </row>
    <row r="392" spans="1:33" x14ac:dyDescent="0.45">
      <c r="A392" s="472"/>
      <c r="B392" s="472"/>
      <c r="C392" s="473"/>
      <c r="D392" s="473"/>
      <c r="E392" s="473"/>
      <c r="F392" s="474"/>
      <c r="G392" s="474"/>
      <c r="H392" s="474"/>
      <c r="I392" s="474"/>
      <c r="J392" s="474"/>
      <c r="K392" s="475"/>
      <c r="AA392" s="120" t="s">
        <v>718</v>
      </c>
      <c r="AB392" s="120" t="s">
        <v>486</v>
      </c>
      <c r="AC392" s="397">
        <v>581</v>
      </c>
      <c r="AD392" s="397">
        <v>130032</v>
      </c>
      <c r="AE392" s="397">
        <v>224</v>
      </c>
      <c r="AF392" s="398">
        <v>0.24208106582736333</v>
      </c>
      <c r="AG392" s="398">
        <v>0.78575016317770996</v>
      </c>
    </row>
    <row r="393" spans="1:33" x14ac:dyDescent="0.45">
      <c r="A393" s="472"/>
      <c r="B393" s="472"/>
      <c r="C393" s="473"/>
      <c r="D393" s="473"/>
      <c r="E393" s="473"/>
      <c r="F393" s="474"/>
      <c r="G393" s="474"/>
      <c r="H393" s="474"/>
      <c r="I393" s="474"/>
      <c r="J393" s="474"/>
      <c r="K393" s="475"/>
      <c r="AA393" s="120" t="s">
        <v>719</v>
      </c>
      <c r="AB393" s="120" t="s">
        <v>486</v>
      </c>
      <c r="AC393" s="397">
        <v>565</v>
      </c>
      <c r="AD393" s="397">
        <v>123178</v>
      </c>
      <c r="AE393" s="397">
        <v>218</v>
      </c>
      <c r="AF393" s="398">
        <v>0.24440864954828398</v>
      </c>
      <c r="AG393" s="398">
        <v>0.78759423335908851</v>
      </c>
    </row>
    <row r="394" spans="1:33" x14ac:dyDescent="0.45">
      <c r="A394" s="472"/>
      <c r="B394" s="472"/>
      <c r="C394" s="473"/>
      <c r="D394" s="473"/>
      <c r="E394" s="473"/>
      <c r="F394" s="474"/>
      <c r="G394" s="474"/>
      <c r="H394" s="474"/>
      <c r="I394" s="474"/>
      <c r="J394" s="474"/>
      <c r="K394" s="475"/>
      <c r="AA394" s="120" t="s">
        <v>720</v>
      </c>
      <c r="AB394" s="120" t="s">
        <v>486</v>
      </c>
      <c r="AC394" s="397">
        <v>679</v>
      </c>
      <c r="AD394" s="397">
        <v>142057</v>
      </c>
      <c r="AE394" s="397">
        <v>209</v>
      </c>
      <c r="AF394" s="398">
        <v>0.24720586963059393</v>
      </c>
      <c r="AG394" s="398">
        <v>0.78972093681064726</v>
      </c>
    </row>
    <row r="395" spans="1:33" x14ac:dyDescent="0.45">
      <c r="A395" s="472"/>
      <c r="B395" s="472"/>
      <c r="C395" s="473"/>
      <c r="D395" s="473"/>
      <c r="E395" s="473"/>
      <c r="F395" s="474"/>
      <c r="G395" s="474"/>
      <c r="H395" s="474"/>
      <c r="I395" s="474"/>
      <c r="J395" s="474"/>
      <c r="K395" s="475"/>
      <c r="AA395" s="120" t="s">
        <v>721</v>
      </c>
      <c r="AB395" s="120" t="s">
        <v>478</v>
      </c>
      <c r="AC395" s="397">
        <v>846</v>
      </c>
      <c r="AD395" s="397">
        <v>172292</v>
      </c>
      <c r="AE395" s="397">
        <v>204</v>
      </c>
      <c r="AF395" s="398">
        <v>0.25069106578616712</v>
      </c>
      <c r="AG395" s="398">
        <v>0.79230028165867272</v>
      </c>
    </row>
    <row r="396" spans="1:33" x14ac:dyDescent="0.45">
      <c r="A396" s="472"/>
      <c r="B396" s="472"/>
      <c r="C396" s="473"/>
      <c r="D396" s="473"/>
      <c r="E396" s="473"/>
      <c r="F396" s="474"/>
      <c r="G396" s="474"/>
      <c r="H396" s="474"/>
      <c r="I396" s="474"/>
      <c r="J396" s="474"/>
      <c r="K396" s="475"/>
      <c r="AA396" s="120" t="s">
        <v>722</v>
      </c>
      <c r="AB396" s="120" t="s">
        <v>486</v>
      </c>
      <c r="AC396" s="397">
        <v>628</v>
      </c>
      <c r="AD396" s="397">
        <v>126160</v>
      </c>
      <c r="AE396" s="397">
        <v>201</v>
      </c>
      <c r="AF396" s="398">
        <v>0.25327818539101349</v>
      </c>
      <c r="AG396" s="398">
        <v>0.7941889946925158</v>
      </c>
    </row>
    <row r="397" spans="1:33" x14ac:dyDescent="0.45">
      <c r="A397" s="472"/>
      <c r="B397" s="472"/>
      <c r="C397" s="473"/>
      <c r="D397" s="473"/>
      <c r="E397" s="473"/>
      <c r="F397" s="474"/>
      <c r="G397" s="474"/>
      <c r="H397" s="474"/>
      <c r="I397" s="474"/>
      <c r="J397" s="474"/>
      <c r="K397" s="475"/>
      <c r="AA397" s="120" t="s">
        <v>723</v>
      </c>
      <c r="AB397" s="120" t="s">
        <v>486</v>
      </c>
      <c r="AC397" s="397">
        <v>674</v>
      </c>
      <c r="AD397" s="397">
        <v>134163</v>
      </c>
      <c r="AE397" s="467">
        <v>199</v>
      </c>
      <c r="AF397" s="398">
        <v>0.25605480738729758</v>
      </c>
      <c r="AG397" s="468">
        <v>0.79619751884248002</v>
      </c>
    </row>
    <row r="398" spans="1:33" x14ac:dyDescent="0.45">
      <c r="A398" s="472"/>
      <c r="B398" s="472"/>
      <c r="C398" s="473"/>
      <c r="D398" s="473"/>
      <c r="E398" s="473"/>
      <c r="F398" s="474"/>
      <c r="G398" s="474"/>
      <c r="H398" s="474"/>
      <c r="I398" s="474"/>
      <c r="J398" s="474"/>
      <c r="K398" s="475"/>
      <c r="AA398" s="120" t="s">
        <v>724</v>
      </c>
      <c r="AB398" s="120" t="s">
        <v>486</v>
      </c>
      <c r="AC398" s="397">
        <v>1261</v>
      </c>
      <c r="AD398" s="397">
        <v>249461</v>
      </c>
      <c r="AE398" s="397">
        <v>198</v>
      </c>
      <c r="AF398" s="398">
        <v>0.26124964468301604</v>
      </c>
      <c r="AG398" s="398">
        <v>0.79993214346308494</v>
      </c>
    </row>
    <row r="399" spans="1:33" x14ac:dyDescent="0.45">
      <c r="A399" s="472"/>
      <c r="B399" s="472"/>
      <c r="C399" s="473"/>
      <c r="D399" s="473"/>
      <c r="E399" s="473"/>
      <c r="F399" s="474"/>
      <c r="G399" s="474"/>
      <c r="H399" s="474"/>
      <c r="I399" s="474"/>
      <c r="J399" s="474"/>
      <c r="K399" s="475"/>
      <c r="AA399" s="120" t="s">
        <v>725</v>
      </c>
      <c r="AB399" s="120" t="s">
        <v>486</v>
      </c>
      <c r="AC399" s="397">
        <v>906</v>
      </c>
      <c r="AD399" s="397">
        <v>177963</v>
      </c>
      <c r="AE399" s="397">
        <v>196</v>
      </c>
      <c r="AF399" s="398">
        <v>0.26498201787089942</v>
      </c>
      <c r="AG399" s="398">
        <v>0.80259638757882545</v>
      </c>
    </row>
    <row r="400" spans="1:33" x14ac:dyDescent="0.45">
      <c r="A400" s="472"/>
      <c r="B400" s="472"/>
      <c r="C400" s="473"/>
      <c r="D400" s="473"/>
      <c r="E400" s="473"/>
      <c r="F400" s="474"/>
      <c r="G400" s="474"/>
      <c r="H400" s="474"/>
      <c r="I400" s="474"/>
      <c r="J400" s="474"/>
      <c r="K400" s="475"/>
      <c r="AA400" s="120" t="s">
        <v>726</v>
      </c>
      <c r="AB400" s="120" t="s">
        <v>486</v>
      </c>
      <c r="AC400" s="397">
        <v>664</v>
      </c>
      <c r="AD400" s="397">
        <v>129433</v>
      </c>
      <c r="AE400" s="397">
        <v>195</v>
      </c>
      <c r="AF400" s="398">
        <v>0.26771744369513184</v>
      </c>
      <c r="AG400" s="398">
        <v>0.80453409996079606</v>
      </c>
    </row>
    <row r="401" spans="1:33" x14ac:dyDescent="0.45">
      <c r="A401" s="472"/>
      <c r="B401" s="472"/>
      <c r="C401" s="473"/>
      <c r="D401" s="473"/>
      <c r="E401" s="473"/>
      <c r="F401" s="474"/>
      <c r="G401" s="474"/>
      <c r="H401" s="474"/>
      <c r="I401" s="474"/>
      <c r="J401" s="474"/>
      <c r="K401" s="475"/>
      <c r="AA401" s="120" t="s">
        <v>727</v>
      </c>
      <c r="AB401" s="120" t="s">
        <v>486</v>
      </c>
      <c r="AC401" s="397">
        <v>833</v>
      </c>
      <c r="AD401" s="397">
        <v>161475</v>
      </c>
      <c r="AE401" s="397">
        <v>194</v>
      </c>
      <c r="AF401" s="398">
        <v>0.27114908482703787</v>
      </c>
      <c r="AG401" s="398">
        <v>0.80695150593051546</v>
      </c>
    </row>
    <row r="402" spans="1:33" x14ac:dyDescent="0.45">
      <c r="A402" s="472"/>
      <c r="B402" s="472"/>
      <c r="C402" s="473"/>
      <c r="D402" s="473"/>
      <c r="E402" s="473"/>
      <c r="F402" s="474"/>
      <c r="G402" s="474"/>
      <c r="H402" s="474"/>
      <c r="I402" s="474"/>
      <c r="J402" s="474"/>
      <c r="K402" s="475"/>
      <c r="AA402" s="120" t="s">
        <v>728</v>
      </c>
      <c r="AB402" s="120" t="s">
        <v>486</v>
      </c>
      <c r="AC402" s="397">
        <v>365</v>
      </c>
      <c r="AD402" s="397">
        <v>70173</v>
      </c>
      <c r="AE402" s="397">
        <v>192</v>
      </c>
      <c r="AF402" s="398">
        <v>0.27265274510692467</v>
      </c>
      <c r="AG402" s="398">
        <v>0.80800205015787652</v>
      </c>
    </row>
    <row r="403" spans="1:33" x14ac:dyDescent="0.45">
      <c r="A403" s="472"/>
      <c r="B403" s="472"/>
      <c r="C403" s="473"/>
      <c r="D403" s="473"/>
      <c r="E403" s="473"/>
      <c r="F403" s="474"/>
      <c r="G403" s="474"/>
      <c r="H403" s="474"/>
      <c r="I403" s="474"/>
      <c r="J403" s="474"/>
      <c r="K403" s="475"/>
      <c r="AA403" s="120" t="s">
        <v>729</v>
      </c>
      <c r="AB403" s="120" t="s">
        <v>486</v>
      </c>
      <c r="AC403" s="397">
        <v>509</v>
      </c>
      <c r="AD403" s="397">
        <v>96080</v>
      </c>
      <c r="AE403" s="397">
        <v>189</v>
      </c>
      <c r="AF403" s="398">
        <v>0.27474963026435584</v>
      </c>
      <c r="AG403" s="398">
        <v>0.80944044226545142</v>
      </c>
    </row>
    <row r="404" spans="1:33" x14ac:dyDescent="0.45">
      <c r="A404" s="472"/>
      <c r="B404" s="472"/>
      <c r="C404" s="473"/>
      <c r="D404" s="473"/>
      <c r="E404" s="473"/>
      <c r="F404" s="474"/>
      <c r="G404" s="474"/>
      <c r="H404" s="474"/>
      <c r="I404" s="474"/>
      <c r="J404" s="474"/>
      <c r="K404" s="475"/>
      <c r="AA404" s="120" t="s">
        <v>730</v>
      </c>
      <c r="AB404" s="120" t="s">
        <v>486</v>
      </c>
      <c r="AC404" s="397">
        <v>661</v>
      </c>
      <c r="AD404" s="397">
        <v>124859</v>
      </c>
      <c r="AE404" s="397">
        <v>189</v>
      </c>
      <c r="AF404" s="398">
        <v>0.27747269723697277</v>
      </c>
      <c r="AG404" s="398">
        <v>0.81130967832040235</v>
      </c>
    </row>
    <row r="405" spans="1:33" x14ac:dyDescent="0.45">
      <c r="A405" s="472"/>
      <c r="B405" s="472"/>
      <c r="C405" s="473"/>
      <c r="D405" s="473"/>
      <c r="E405" s="473"/>
      <c r="F405" s="474"/>
      <c r="G405" s="474"/>
      <c r="H405" s="474"/>
      <c r="I405" s="474"/>
      <c r="J405" s="474"/>
      <c r="K405" s="475"/>
      <c r="AA405" s="120" t="s">
        <v>731</v>
      </c>
      <c r="AB405" s="120" t="s">
        <v>486</v>
      </c>
      <c r="AC405" s="397">
        <v>651</v>
      </c>
      <c r="AD405" s="397">
        <v>122421</v>
      </c>
      <c r="AE405" s="397">
        <v>188</v>
      </c>
      <c r="AF405" s="398">
        <v>0.28015456803753797</v>
      </c>
      <c r="AG405" s="398">
        <v>0.81314241562474687</v>
      </c>
    </row>
    <row r="406" spans="1:33" x14ac:dyDescent="0.45">
      <c r="A406" s="472"/>
      <c r="B406" s="472"/>
      <c r="C406" s="473"/>
      <c r="D406" s="473"/>
      <c r="E406" s="473"/>
      <c r="F406" s="474"/>
      <c r="G406" s="474"/>
      <c r="H406" s="474"/>
      <c r="I406" s="474"/>
      <c r="J406" s="474"/>
      <c r="K406" s="475"/>
      <c r="AA406" s="120" t="s">
        <v>732</v>
      </c>
      <c r="AB406" s="120" t="s">
        <v>486</v>
      </c>
      <c r="AC406" s="397">
        <v>546</v>
      </c>
      <c r="AD406" s="397">
        <v>101850</v>
      </c>
      <c r="AE406" s="397">
        <v>186</v>
      </c>
      <c r="AF406" s="398">
        <v>0.28240387903156039</v>
      </c>
      <c r="AG406" s="398">
        <v>0.81466718910680869</v>
      </c>
    </row>
    <row r="407" spans="1:33" x14ac:dyDescent="0.45">
      <c r="A407" s="472"/>
      <c r="B407" s="472"/>
      <c r="C407" s="473"/>
      <c r="D407" s="473"/>
      <c r="E407" s="473"/>
      <c r="F407" s="474"/>
      <c r="G407" s="474"/>
      <c r="H407" s="474"/>
      <c r="I407" s="474"/>
      <c r="J407" s="474"/>
      <c r="K407" s="475"/>
      <c r="AA407" s="120" t="s">
        <v>733</v>
      </c>
      <c r="AB407" s="120" t="s">
        <v>486</v>
      </c>
      <c r="AC407" s="397">
        <v>510</v>
      </c>
      <c r="AD407" s="397">
        <v>94527</v>
      </c>
      <c r="AE407" s="397">
        <v>185</v>
      </c>
      <c r="AF407" s="398">
        <v>0.28450488380619671</v>
      </c>
      <c r="AG407" s="398">
        <v>0.81608233160007182</v>
      </c>
    </row>
    <row r="408" spans="1:33" x14ac:dyDescent="0.45">
      <c r="A408" s="472"/>
      <c r="B408" s="472"/>
      <c r="C408" s="473"/>
      <c r="D408" s="473"/>
      <c r="E408" s="473"/>
      <c r="F408" s="474"/>
      <c r="G408" s="474"/>
      <c r="H408" s="474"/>
      <c r="I408" s="474"/>
      <c r="J408" s="474"/>
      <c r="K408" s="475"/>
      <c r="AA408" s="120" t="s">
        <v>734</v>
      </c>
      <c r="AB408" s="120" t="s">
        <v>486</v>
      </c>
      <c r="AC408" s="397">
        <v>638</v>
      </c>
      <c r="AD408" s="397">
        <v>117459</v>
      </c>
      <c r="AE408" s="397">
        <v>184</v>
      </c>
      <c r="AF408" s="398">
        <v>0.28713319958309474</v>
      </c>
      <c r="AG408" s="398">
        <v>0.8178407839165126</v>
      </c>
    </row>
    <row r="409" spans="1:33" x14ac:dyDescent="0.45">
      <c r="A409" s="472"/>
      <c r="B409" s="472"/>
      <c r="C409" s="473"/>
      <c r="D409" s="473"/>
      <c r="E409" s="473"/>
      <c r="F409" s="474"/>
      <c r="G409" s="474"/>
      <c r="H409" s="474"/>
      <c r="I409" s="474"/>
      <c r="J409" s="474"/>
      <c r="K409" s="475"/>
      <c r="AA409" s="120" t="s">
        <v>735</v>
      </c>
      <c r="AB409" s="120" t="s">
        <v>499</v>
      </c>
      <c r="AC409" s="397">
        <v>1772</v>
      </c>
      <c r="AD409" s="397">
        <v>320530</v>
      </c>
      <c r="AE409" s="397">
        <v>181</v>
      </c>
      <c r="AF409" s="398">
        <v>0.29443316127065472</v>
      </c>
      <c r="AG409" s="398">
        <v>0.8226393665793037</v>
      </c>
    </row>
    <row r="410" spans="1:33" x14ac:dyDescent="0.45">
      <c r="A410" s="472"/>
      <c r="B410" s="472"/>
      <c r="C410" s="473"/>
      <c r="D410" s="473"/>
      <c r="E410" s="473"/>
      <c r="F410" s="474"/>
      <c r="G410" s="474"/>
      <c r="H410" s="474"/>
      <c r="I410" s="474"/>
      <c r="J410" s="474"/>
      <c r="K410" s="475"/>
      <c r="AA410" s="120" t="s">
        <v>736</v>
      </c>
      <c r="AB410" s="120" t="s">
        <v>486</v>
      </c>
      <c r="AC410" s="397">
        <v>358</v>
      </c>
      <c r="AD410" s="397">
        <v>64926</v>
      </c>
      <c r="AE410" s="397">
        <v>181</v>
      </c>
      <c r="AF410" s="398">
        <v>0.29590798423010534</v>
      </c>
      <c r="AG410" s="398">
        <v>0.82361135914775085</v>
      </c>
    </row>
    <row r="411" spans="1:33" x14ac:dyDescent="0.45">
      <c r="A411" s="472"/>
      <c r="B411" s="472"/>
      <c r="C411" s="473"/>
      <c r="D411" s="473"/>
      <c r="E411" s="473"/>
      <c r="F411" s="474"/>
      <c r="G411" s="474"/>
      <c r="H411" s="474"/>
      <c r="I411" s="474"/>
      <c r="J411" s="474"/>
      <c r="K411" s="475"/>
      <c r="AA411" s="120" t="s">
        <v>737</v>
      </c>
      <c r="AB411" s="120" t="s">
        <v>486</v>
      </c>
      <c r="AC411" s="397">
        <v>814</v>
      </c>
      <c r="AD411" s="397">
        <v>146284</v>
      </c>
      <c r="AE411" s="397">
        <v>180</v>
      </c>
      <c r="AF411" s="398">
        <v>0.29926135263511316</v>
      </c>
      <c r="AG411" s="398">
        <v>0.8258013440672396</v>
      </c>
    </row>
    <row r="412" spans="1:33" x14ac:dyDescent="0.45">
      <c r="A412" s="472"/>
      <c r="B412" s="472"/>
      <c r="C412" s="473"/>
      <c r="D412" s="473"/>
      <c r="E412" s="473"/>
      <c r="F412" s="473"/>
      <c r="G412" s="473"/>
      <c r="H412" s="473"/>
      <c r="I412" s="473"/>
      <c r="J412" s="473"/>
      <c r="K412" s="475"/>
      <c r="AA412" s="120" t="s">
        <v>738</v>
      </c>
      <c r="AB412" s="120" t="s">
        <v>486</v>
      </c>
      <c r="AC412" s="397">
        <v>902</v>
      </c>
      <c r="AD412" s="397">
        <v>159086</v>
      </c>
      <c r="AE412" s="397">
        <v>176</v>
      </c>
      <c r="AF412" s="398">
        <v>0.30297724735417586</v>
      </c>
      <c r="AG412" s="398">
        <v>0.82818298485435093</v>
      </c>
    </row>
    <row r="413" spans="1:33" x14ac:dyDescent="0.45">
      <c r="A413" s="472"/>
      <c r="B413" s="472"/>
      <c r="C413" s="473"/>
      <c r="D413" s="473"/>
      <c r="E413" s="473"/>
      <c r="F413" s="474"/>
      <c r="G413" s="474"/>
      <c r="H413" s="474"/>
      <c r="I413" s="474"/>
      <c r="J413" s="474"/>
      <c r="K413" s="475"/>
      <c r="AA413" s="120" t="s">
        <v>739</v>
      </c>
      <c r="AB413" s="120" t="s">
        <v>486</v>
      </c>
      <c r="AC413" s="397">
        <v>959</v>
      </c>
      <c r="AD413" s="397">
        <v>168345</v>
      </c>
      <c r="AE413" s="397">
        <v>176</v>
      </c>
      <c r="AF413" s="398">
        <v>0.30692796025393321</v>
      </c>
      <c r="AG413" s="398">
        <v>0.83070324005157914</v>
      </c>
    </row>
    <row r="414" spans="1:33" x14ac:dyDescent="0.45">
      <c r="A414" s="472"/>
      <c r="B414" s="472"/>
      <c r="C414" s="473"/>
      <c r="D414" s="473"/>
      <c r="E414" s="473"/>
      <c r="F414" s="474"/>
      <c r="G414" s="474"/>
      <c r="H414" s="474"/>
      <c r="I414" s="474"/>
      <c r="J414" s="474"/>
      <c r="K414" s="475"/>
      <c r="AA414" s="120" t="s">
        <v>740</v>
      </c>
      <c r="AB414" s="120" t="s">
        <v>486</v>
      </c>
      <c r="AC414" s="397">
        <v>1035</v>
      </c>
      <c r="AD414" s="397">
        <v>179045</v>
      </c>
      <c r="AE414" s="397">
        <v>173</v>
      </c>
      <c r="AF414" s="398">
        <v>0.3111917640612834</v>
      </c>
      <c r="AG414" s="398">
        <v>0.83338368254638284</v>
      </c>
    </row>
    <row r="415" spans="1:33" x14ac:dyDescent="0.45">
      <c r="A415" s="472"/>
      <c r="B415" s="472"/>
      <c r="C415" s="473"/>
      <c r="D415" s="473"/>
      <c r="E415" s="473"/>
      <c r="F415" s="474"/>
      <c r="G415" s="474"/>
      <c r="H415" s="474"/>
      <c r="I415" s="474"/>
      <c r="J415" s="474"/>
      <c r="K415" s="475"/>
      <c r="AA415" s="120" t="s">
        <v>741</v>
      </c>
      <c r="AB415" s="120" t="s">
        <v>486</v>
      </c>
      <c r="AC415" s="397">
        <v>539</v>
      </c>
      <c r="AD415" s="397">
        <v>92666</v>
      </c>
      <c r="AE415" s="397">
        <v>172</v>
      </c>
      <c r="AF415" s="398">
        <v>0.3134122377348697</v>
      </c>
      <c r="AG415" s="398">
        <v>0.83477096442648824</v>
      </c>
    </row>
    <row r="416" spans="1:33" x14ac:dyDescent="0.45">
      <c r="A416" s="472"/>
      <c r="B416" s="472"/>
      <c r="C416" s="473"/>
      <c r="D416" s="473"/>
      <c r="E416" s="473"/>
      <c r="F416" s="474"/>
      <c r="G416" s="474"/>
      <c r="H416" s="474"/>
      <c r="I416" s="474"/>
      <c r="J416" s="474"/>
      <c r="K416" s="475"/>
      <c r="AA416" s="120" t="s">
        <v>742</v>
      </c>
      <c r="AB416" s="120" t="s">
        <v>486</v>
      </c>
      <c r="AC416" s="397">
        <v>576</v>
      </c>
      <c r="AD416" s="397">
        <v>98435</v>
      </c>
      <c r="AE416" s="397">
        <v>171</v>
      </c>
      <c r="AF416" s="398">
        <v>0.3157851372450472</v>
      </c>
      <c r="AG416" s="398">
        <v>0.83624461271030515</v>
      </c>
    </row>
    <row r="417" spans="1:33" x14ac:dyDescent="0.45">
      <c r="A417" s="472"/>
      <c r="B417" s="472"/>
      <c r="C417" s="473"/>
      <c r="D417" s="473"/>
      <c r="E417" s="473"/>
      <c r="F417" s="474"/>
      <c r="G417" s="474"/>
      <c r="H417" s="474"/>
      <c r="I417" s="474"/>
      <c r="J417" s="474"/>
      <c r="K417" s="475"/>
      <c r="AA417" s="120" t="s">
        <v>743</v>
      </c>
      <c r="AB417" s="120" t="s">
        <v>486</v>
      </c>
      <c r="AC417" s="397">
        <v>526</v>
      </c>
      <c r="AD417" s="397">
        <v>86791</v>
      </c>
      <c r="AE417" s="397">
        <v>165</v>
      </c>
      <c r="AF417" s="398">
        <v>0.31795205589496622</v>
      </c>
      <c r="AG417" s="398">
        <v>0.83754394128449883</v>
      </c>
    </row>
    <row r="418" spans="1:33" x14ac:dyDescent="0.45">
      <c r="A418" s="472"/>
      <c r="B418" s="472"/>
      <c r="C418" s="473"/>
      <c r="D418" s="473"/>
      <c r="E418" s="473"/>
      <c r="F418" s="474"/>
      <c r="G418" s="474"/>
      <c r="H418" s="474"/>
      <c r="I418" s="474"/>
      <c r="J418" s="474"/>
      <c r="K418" s="475"/>
      <c r="AA418" s="120" t="s">
        <v>744</v>
      </c>
      <c r="AB418" s="120" t="s">
        <v>529</v>
      </c>
      <c r="AC418" s="397">
        <v>1338</v>
      </c>
      <c r="AD418" s="397">
        <v>216205</v>
      </c>
      <c r="AE418" s="397">
        <v>162</v>
      </c>
      <c r="AF418" s="398">
        <v>0.32346410371548273</v>
      </c>
      <c r="AG418" s="398">
        <v>0.84078069779592912</v>
      </c>
    </row>
    <row r="419" spans="1:33" x14ac:dyDescent="0.45">
      <c r="A419" s="472"/>
      <c r="B419" s="472"/>
      <c r="C419" s="473"/>
      <c r="D419" s="473"/>
      <c r="E419" s="473"/>
      <c r="F419" s="474"/>
      <c r="G419" s="474"/>
      <c r="H419" s="474"/>
      <c r="I419" s="474"/>
      <c r="J419" s="474"/>
      <c r="K419" s="475"/>
      <c r="AA419" s="120" t="s">
        <v>745</v>
      </c>
      <c r="AB419" s="120" t="s">
        <v>478</v>
      </c>
      <c r="AC419" s="397">
        <v>3545</v>
      </c>
      <c r="AD419" s="397">
        <v>569578</v>
      </c>
      <c r="AE419" s="397">
        <v>161</v>
      </c>
      <c r="AF419" s="398">
        <v>0.33806814670780794</v>
      </c>
      <c r="AG419" s="398">
        <v>0.84930772214905426</v>
      </c>
    </row>
    <row r="420" spans="1:33" x14ac:dyDescent="0.45">
      <c r="A420" s="472"/>
      <c r="B420" s="472"/>
      <c r="C420" s="473"/>
      <c r="D420" s="473"/>
      <c r="E420" s="473"/>
      <c r="F420" s="474"/>
      <c r="G420" s="474"/>
      <c r="H420" s="474"/>
      <c r="I420" s="474"/>
      <c r="J420" s="474"/>
      <c r="K420" s="475"/>
      <c r="AA420" s="120" t="s">
        <v>746</v>
      </c>
      <c r="AB420" s="120" t="s">
        <v>486</v>
      </c>
      <c r="AC420" s="397">
        <v>592</v>
      </c>
      <c r="AD420" s="397">
        <v>93807</v>
      </c>
      <c r="AE420" s="397">
        <v>159</v>
      </c>
      <c r="AF420" s="398">
        <v>0.34050696009326814</v>
      </c>
      <c r="AG420" s="398">
        <v>0.85071208568397583</v>
      </c>
    </row>
    <row r="421" spans="1:33" x14ac:dyDescent="0.45">
      <c r="A421" s="472"/>
      <c r="B421" s="472"/>
      <c r="C421" s="473"/>
      <c r="D421" s="473"/>
      <c r="E421" s="473"/>
      <c r="F421" s="474"/>
      <c r="G421" s="474"/>
      <c r="H421" s="474"/>
      <c r="I421" s="474"/>
      <c r="J421" s="474"/>
      <c r="K421" s="475"/>
      <c r="AA421" s="120" t="s">
        <v>747</v>
      </c>
      <c r="AB421" s="120" t="s">
        <v>499</v>
      </c>
      <c r="AC421" s="397">
        <v>679</v>
      </c>
      <c r="AD421" s="397">
        <v>107090</v>
      </c>
      <c r="AE421" s="397">
        <v>158</v>
      </c>
      <c r="AF421" s="398">
        <v>0.34330418017557807</v>
      </c>
      <c r="AG421" s="398">
        <v>0.85231530602952321</v>
      </c>
    </row>
    <row r="422" spans="1:33" x14ac:dyDescent="0.45">
      <c r="A422" s="472"/>
      <c r="B422" s="472"/>
      <c r="C422" s="473"/>
      <c r="D422" s="473"/>
      <c r="E422" s="473"/>
      <c r="F422" s="474"/>
      <c r="G422" s="474"/>
      <c r="H422" s="474"/>
      <c r="I422" s="474"/>
      <c r="J422" s="474"/>
      <c r="K422" s="475"/>
      <c r="AA422" s="120" t="s">
        <v>748</v>
      </c>
      <c r="AB422" s="120" t="s">
        <v>486</v>
      </c>
      <c r="AC422" s="397">
        <v>739</v>
      </c>
      <c r="AD422" s="397">
        <v>115587</v>
      </c>
      <c r="AE422" s="397">
        <v>156</v>
      </c>
      <c r="AF422" s="398">
        <v>0.34634857729019819</v>
      </c>
      <c r="AG422" s="398">
        <v>0.85404573305427611</v>
      </c>
    </row>
    <row r="423" spans="1:33" x14ac:dyDescent="0.45">
      <c r="A423" s="472"/>
      <c r="B423" s="472"/>
      <c r="C423" s="473"/>
      <c r="D423" s="473"/>
      <c r="E423" s="473"/>
      <c r="F423" s="474"/>
      <c r="G423" s="474"/>
      <c r="H423" s="474"/>
      <c r="I423" s="474"/>
      <c r="J423" s="474"/>
      <c r="K423" s="475"/>
      <c r="AA423" s="120" t="s">
        <v>749</v>
      </c>
      <c r="AB423" s="120" t="s">
        <v>486</v>
      </c>
      <c r="AC423" s="397">
        <v>908</v>
      </c>
      <c r="AD423" s="397">
        <v>140880</v>
      </c>
      <c r="AE423" s="397">
        <v>155</v>
      </c>
      <c r="AF423" s="398">
        <v>0.35008918971249192</v>
      </c>
      <c r="AG423" s="398">
        <v>0.8561548159031015</v>
      </c>
    </row>
    <row r="424" spans="1:33" x14ac:dyDescent="0.45">
      <c r="A424" s="472"/>
      <c r="B424" s="472"/>
      <c r="C424" s="473"/>
      <c r="D424" s="473"/>
      <c r="E424" s="473"/>
      <c r="F424" s="474"/>
      <c r="G424" s="474"/>
      <c r="H424" s="474"/>
      <c r="I424" s="474"/>
      <c r="J424" s="474"/>
      <c r="K424" s="475"/>
      <c r="AA424" s="120" t="s">
        <v>750</v>
      </c>
      <c r="AB424" s="120" t="s">
        <v>486</v>
      </c>
      <c r="AC424" s="397">
        <v>594</v>
      </c>
      <c r="AD424" s="397">
        <v>92036</v>
      </c>
      <c r="AE424" s="397">
        <v>155</v>
      </c>
      <c r="AF424" s="398">
        <v>0.35253624233236247</v>
      </c>
      <c r="AG424" s="398">
        <v>0.85753266619465807</v>
      </c>
    </row>
    <row r="425" spans="1:33" x14ac:dyDescent="0.45">
      <c r="A425" s="472"/>
      <c r="B425" s="472"/>
      <c r="C425" s="473"/>
      <c r="D425" s="473"/>
      <c r="E425" s="473"/>
      <c r="F425" s="474"/>
      <c r="G425" s="474"/>
      <c r="H425" s="474"/>
      <c r="I425" s="474"/>
      <c r="J425" s="474"/>
      <c r="K425" s="475"/>
      <c r="AA425" s="120" t="s">
        <v>751</v>
      </c>
      <c r="AB425" s="120" t="s">
        <v>486</v>
      </c>
      <c r="AC425" s="397">
        <v>714</v>
      </c>
      <c r="AD425" s="397">
        <v>110643</v>
      </c>
      <c r="AE425" s="397">
        <v>155</v>
      </c>
      <c r="AF425" s="398">
        <v>0.35547764901685336</v>
      </c>
      <c r="AG425" s="398">
        <v>0.85918907770546582</v>
      </c>
    </row>
    <row r="426" spans="1:33" x14ac:dyDescent="0.45">
      <c r="A426" s="472"/>
      <c r="B426" s="472"/>
      <c r="C426" s="473"/>
      <c r="D426" s="473"/>
      <c r="E426" s="473"/>
      <c r="F426" s="474"/>
      <c r="G426" s="474"/>
      <c r="H426" s="474"/>
      <c r="I426" s="474"/>
      <c r="J426" s="474"/>
      <c r="K426" s="475"/>
      <c r="AA426" s="120" t="s">
        <v>752</v>
      </c>
      <c r="AB426" s="120" t="s">
        <v>486</v>
      </c>
      <c r="AC426" s="397">
        <v>786</v>
      </c>
      <c r="AD426" s="397">
        <v>121129</v>
      </c>
      <c r="AE426" s="397">
        <v>154</v>
      </c>
      <c r="AF426" s="398">
        <v>0.35871566814011641</v>
      </c>
      <c r="AG426" s="398">
        <v>0.86100247276789743</v>
      </c>
    </row>
    <row r="427" spans="1:33" x14ac:dyDescent="0.45">
      <c r="A427" s="472"/>
      <c r="B427" s="472"/>
      <c r="C427" s="473"/>
      <c r="D427" s="473"/>
      <c r="E427" s="473"/>
      <c r="F427" s="474"/>
      <c r="G427" s="474"/>
      <c r="H427" s="474"/>
      <c r="I427" s="474"/>
      <c r="J427" s="474"/>
      <c r="K427" s="475"/>
      <c r="AA427" s="120" t="s">
        <v>753</v>
      </c>
      <c r="AB427" s="120" t="s">
        <v>478</v>
      </c>
      <c r="AC427" s="397">
        <v>3255</v>
      </c>
      <c r="AD427" s="397">
        <v>500024</v>
      </c>
      <c r="AE427" s="397">
        <v>154</v>
      </c>
      <c r="AF427" s="398">
        <v>0.37212502214294246</v>
      </c>
      <c r="AG427" s="398">
        <v>0.86848821980368018</v>
      </c>
    </row>
    <row r="428" spans="1:33" x14ac:dyDescent="0.45">
      <c r="A428" s="472"/>
      <c r="B428" s="472"/>
      <c r="C428" s="473"/>
      <c r="D428" s="473"/>
      <c r="E428" s="473"/>
      <c r="F428" s="474"/>
      <c r="G428" s="474"/>
      <c r="H428" s="474"/>
      <c r="I428" s="474"/>
      <c r="J428" s="474"/>
      <c r="K428" s="475"/>
      <c r="AA428" s="120" t="s">
        <v>754</v>
      </c>
      <c r="AB428" s="120" t="s">
        <v>499</v>
      </c>
      <c r="AC428" s="397">
        <v>885</v>
      </c>
      <c r="AD428" s="397">
        <v>134740</v>
      </c>
      <c r="AE428" s="397">
        <v>152</v>
      </c>
      <c r="AF428" s="398">
        <v>0.37577088336951731</v>
      </c>
      <c r="AG428" s="398">
        <v>0.87050538209109307</v>
      </c>
    </row>
    <row r="429" spans="1:33" x14ac:dyDescent="0.45">
      <c r="A429" s="472"/>
      <c r="B429" s="472"/>
      <c r="C429" s="473"/>
      <c r="D429" s="473"/>
      <c r="E429" s="473"/>
      <c r="F429" s="474"/>
      <c r="G429" s="474"/>
      <c r="H429" s="474"/>
      <c r="I429" s="474"/>
      <c r="J429" s="474"/>
      <c r="K429" s="475"/>
      <c r="AA429" s="120" t="s">
        <v>755</v>
      </c>
      <c r="AB429" s="120" t="s">
        <v>478</v>
      </c>
      <c r="AC429" s="397">
        <v>2491</v>
      </c>
      <c r="AD429" s="397">
        <v>378508</v>
      </c>
      <c r="AE429" s="397">
        <v>152</v>
      </c>
      <c r="AF429" s="398">
        <v>0.386032849827594</v>
      </c>
      <c r="AG429" s="398">
        <v>0.87617194037433554</v>
      </c>
    </row>
    <row r="430" spans="1:33" x14ac:dyDescent="0.45">
      <c r="A430" s="472"/>
      <c r="B430" s="472"/>
      <c r="C430" s="473"/>
      <c r="D430" s="473"/>
      <c r="E430" s="473"/>
      <c r="F430" s="474"/>
      <c r="G430" s="474"/>
      <c r="H430" s="474"/>
      <c r="I430" s="474"/>
      <c r="J430" s="474"/>
      <c r="K430" s="475"/>
      <c r="AA430" s="120" t="s">
        <v>756</v>
      </c>
      <c r="AB430" s="120" t="s">
        <v>486</v>
      </c>
      <c r="AC430" s="397">
        <v>599</v>
      </c>
      <c r="AD430" s="397">
        <v>90620</v>
      </c>
      <c r="AE430" s="397">
        <v>151</v>
      </c>
      <c r="AF430" s="398">
        <v>0.38850050053349044</v>
      </c>
      <c r="AG430" s="398">
        <v>0.87752859204782052</v>
      </c>
    </row>
    <row r="431" spans="1:33" x14ac:dyDescent="0.45">
      <c r="A431" s="472"/>
      <c r="B431" s="472"/>
      <c r="C431" s="473"/>
      <c r="D431" s="473"/>
      <c r="E431" s="473"/>
      <c r="F431" s="474"/>
      <c r="G431" s="474"/>
      <c r="H431" s="474"/>
      <c r="I431" s="474"/>
      <c r="J431" s="474"/>
      <c r="K431" s="475"/>
      <c r="AA431" s="120" t="s">
        <v>757</v>
      </c>
      <c r="AB431" s="120" t="s">
        <v>486</v>
      </c>
      <c r="AC431" s="397">
        <v>943</v>
      </c>
      <c r="AD431" s="397">
        <v>142424</v>
      </c>
      <c r="AE431" s="397">
        <v>151</v>
      </c>
      <c r="AF431" s="398">
        <v>0.39238529955796508</v>
      </c>
      <c r="AG431" s="398">
        <v>0.87966078977397821</v>
      </c>
    </row>
    <row r="432" spans="1:33" x14ac:dyDescent="0.45">
      <c r="A432" s="472"/>
      <c r="B432" s="472"/>
      <c r="C432" s="473"/>
      <c r="D432" s="473"/>
      <c r="E432" s="473"/>
      <c r="F432" s="474"/>
      <c r="G432" s="474"/>
      <c r="H432" s="474"/>
      <c r="I432" s="474"/>
      <c r="J432" s="474"/>
      <c r="K432" s="475"/>
      <c r="AA432" s="120" t="s">
        <v>758</v>
      </c>
      <c r="AB432" s="120" t="s">
        <v>486</v>
      </c>
      <c r="AC432" s="397">
        <v>634</v>
      </c>
      <c r="AD432" s="397">
        <v>94490</v>
      </c>
      <c r="AE432" s="397">
        <v>149</v>
      </c>
      <c r="AF432" s="398">
        <v>0.39499713686604243</v>
      </c>
      <c r="AG432" s="398">
        <v>0.88107537834854888</v>
      </c>
    </row>
    <row r="433" spans="1:33" x14ac:dyDescent="0.45">
      <c r="A433" s="472"/>
      <c r="B433" s="472"/>
      <c r="C433" s="473"/>
      <c r="D433" s="473"/>
      <c r="E433" s="473"/>
      <c r="F433" s="474"/>
      <c r="G433" s="474"/>
      <c r="H433" s="474"/>
      <c r="I433" s="474"/>
      <c r="J433" s="474"/>
      <c r="K433" s="475"/>
      <c r="AA433" s="120" t="s">
        <v>759</v>
      </c>
      <c r="AB433" s="120" t="s">
        <v>486</v>
      </c>
      <c r="AC433" s="397">
        <v>641</v>
      </c>
      <c r="AD433" s="397">
        <v>91284</v>
      </c>
      <c r="AE433" s="397">
        <v>142</v>
      </c>
      <c r="AF433" s="398">
        <v>0.3976378114945559</v>
      </c>
      <c r="AG433" s="398">
        <v>0.88244197061694885</v>
      </c>
    </row>
    <row r="434" spans="1:33" x14ac:dyDescent="0.45">
      <c r="A434" s="472"/>
      <c r="B434" s="472"/>
      <c r="C434" s="473"/>
      <c r="D434" s="473"/>
      <c r="E434" s="473"/>
      <c r="F434" s="474"/>
      <c r="G434" s="474"/>
      <c r="H434" s="474"/>
      <c r="I434" s="474"/>
      <c r="J434" s="474"/>
      <c r="K434" s="475"/>
      <c r="AA434" s="120" t="s">
        <v>760</v>
      </c>
      <c r="AB434" s="120" t="s">
        <v>478</v>
      </c>
      <c r="AC434" s="397">
        <v>2404</v>
      </c>
      <c r="AD434" s="397">
        <v>341173</v>
      </c>
      <c r="AE434" s="397">
        <v>142</v>
      </c>
      <c r="AF434" s="398">
        <v>0.40754137125578294</v>
      </c>
      <c r="AG434" s="398">
        <v>0.88754959499785668</v>
      </c>
    </row>
    <row r="435" spans="1:33" x14ac:dyDescent="0.45">
      <c r="A435" s="472"/>
      <c r="B435" s="472"/>
      <c r="C435" s="473"/>
      <c r="D435" s="473"/>
      <c r="E435" s="473"/>
      <c r="F435" s="474"/>
      <c r="G435" s="474"/>
      <c r="H435" s="474"/>
      <c r="I435" s="474"/>
      <c r="J435" s="474"/>
      <c r="K435" s="475"/>
      <c r="AA435" s="120" t="s">
        <v>761</v>
      </c>
      <c r="AB435" s="120" t="s">
        <v>486</v>
      </c>
      <c r="AC435" s="397">
        <v>651</v>
      </c>
      <c r="AD435" s="397">
        <v>89840</v>
      </c>
      <c r="AE435" s="397">
        <v>138</v>
      </c>
      <c r="AF435" s="398">
        <v>0.41022324205634814</v>
      </c>
      <c r="AG435" s="398">
        <v>0.88889456946647161</v>
      </c>
    </row>
    <row r="436" spans="1:33" x14ac:dyDescent="0.45">
      <c r="A436" s="472"/>
      <c r="B436" s="472"/>
      <c r="C436" s="473"/>
      <c r="D436" s="473"/>
      <c r="E436" s="473"/>
      <c r="F436" s="474"/>
      <c r="G436" s="474"/>
      <c r="H436" s="474"/>
      <c r="I436" s="474"/>
      <c r="J436" s="474"/>
      <c r="K436" s="475"/>
      <c r="AA436" s="120" t="s">
        <v>762</v>
      </c>
      <c r="AB436" s="120" t="s">
        <v>486</v>
      </c>
      <c r="AC436" s="397">
        <v>577</v>
      </c>
      <c r="AD436" s="397">
        <v>78698</v>
      </c>
      <c r="AE436" s="397">
        <v>136</v>
      </c>
      <c r="AF436" s="398">
        <v>0.41260026118373083</v>
      </c>
      <c r="AG436" s="398">
        <v>0.89007273955475152</v>
      </c>
    </row>
    <row r="437" spans="1:33" x14ac:dyDescent="0.45">
      <c r="A437" s="472"/>
      <c r="B437" s="472"/>
      <c r="C437" s="473"/>
      <c r="D437" s="473"/>
      <c r="E437" s="473"/>
      <c r="F437" s="474"/>
      <c r="G437" s="474"/>
      <c r="H437" s="474"/>
      <c r="I437" s="474"/>
      <c r="J437" s="474"/>
      <c r="K437" s="475"/>
      <c r="AA437" s="120" t="s">
        <v>763</v>
      </c>
      <c r="AB437" s="120" t="s">
        <v>478</v>
      </c>
      <c r="AC437" s="397">
        <v>16</v>
      </c>
      <c r="AD437" s="397">
        <v>2224</v>
      </c>
      <c r="AE437" s="397">
        <v>136</v>
      </c>
      <c r="AF437" s="398">
        <v>0.41266617505901354</v>
      </c>
      <c r="AG437" s="398">
        <v>0.8901060345594064</v>
      </c>
    </row>
    <row r="438" spans="1:33" x14ac:dyDescent="0.45">
      <c r="A438" s="472"/>
      <c r="B438" s="472"/>
      <c r="C438" s="473"/>
      <c r="D438" s="473"/>
      <c r="E438" s="473"/>
      <c r="F438" s="474"/>
      <c r="G438" s="474"/>
      <c r="H438" s="474"/>
      <c r="I438" s="474"/>
      <c r="J438" s="474"/>
      <c r="K438" s="475"/>
      <c r="AA438" s="120" t="s">
        <v>764</v>
      </c>
      <c r="AB438" s="120" t="s">
        <v>486</v>
      </c>
      <c r="AC438" s="397">
        <v>816</v>
      </c>
      <c r="AD438" s="397">
        <v>108757</v>
      </c>
      <c r="AE438" s="397">
        <v>133</v>
      </c>
      <c r="AF438" s="398">
        <v>0.41602778269843166</v>
      </c>
      <c r="AG438" s="398">
        <v>0.89173421118766949</v>
      </c>
    </row>
    <row r="439" spans="1:33" x14ac:dyDescent="0.45">
      <c r="A439" s="472"/>
      <c r="B439" s="472"/>
      <c r="C439" s="473"/>
      <c r="D439" s="473"/>
      <c r="E439" s="473"/>
      <c r="F439" s="474"/>
      <c r="G439" s="474"/>
      <c r="H439" s="474"/>
      <c r="I439" s="474"/>
      <c r="J439" s="474"/>
      <c r="K439" s="475"/>
      <c r="AA439" s="120" t="s">
        <v>765</v>
      </c>
      <c r="AB439" s="120" t="s">
        <v>486</v>
      </c>
      <c r="AC439" s="397">
        <v>978</v>
      </c>
      <c r="AD439" s="397">
        <v>130098</v>
      </c>
      <c r="AE439" s="397">
        <v>133</v>
      </c>
      <c r="AF439" s="398">
        <v>0.42005676832508726</v>
      </c>
      <c r="AG439" s="398">
        <v>0.89368187913533048</v>
      </c>
    </row>
    <row r="440" spans="1:33" x14ac:dyDescent="0.45">
      <c r="A440" s="472"/>
      <c r="B440" s="472"/>
      <c r="C440" s="473"/>
      <c r="D440" s="473"/>
      <c r="E440" s="473"/>
      <c r="F440" s="474"/>
      <c r="G440" s="474"/>
      <c r="H440" s="474"/>
      <c r="I440" s="474"/>
      <c r="J440" s="474"/>
      <c r="K440" s="475"/>
      <c r="AA440" s="120" t="s">
        <v>766</v>
      </c>
      <c r="AB440" s="120" t="s">
        <v>529</v>
      </c>
      <c r="AC440" s="397">
        <v>1059</v>
      </c>
      <c r="AD440" s="397">
        <v>139274</v>
      </c>
      <c r="AE440" s="397">
        <v>131</v>
      </c>
      <c r="AF440" s="398">
        <v>0.42441944294536149</v>
      </c>
      <c r="AG440" s="398">
        <v>0.89576691891874416</v>
      </c>
    </row>
    <row r="441" spans="1:33" x14ac:dyDescent="0.45">
      <c r="A441" s="472"/>
      <c r="B441" s="472"/>
      <c r="C441" s="473"/>
      <c r="D441" s="473"/>
      <c r="E441" s="473"/>
      <c r="F441" s="474"/>
      <c r="G441" s="474"/>
      <c r="H441" s="474"/>
      <c r="I441" s="474"/>
      <c r="J441" s="474"/>
      <c r="K441" s="475"/>
      <c r="AA441" s="120" t="s">
        <v>767</v>
      </c>
      <c r="AB441" s="120" t="s">
        <v>486</v>
      </c>
      <c r="AC441" s="397">
        <v>1188</v>
      </c>
      <c r="AD441" s="397">
        <v>155115</v>
      </c>
      <c r="AE441" s="397">
        <v>131</v>
      </c>
      <c r="AF441" s="398">
        <v>0.42931354818510264</v>
      </c>
      <c r="AG441" s="398">
        <v>0.89808911075644682</v>
      </c>
    </row>
    <row r="442" spans="1:33" x14ac:dyDescent="0.45">
      <c r="A442" s="472"/>
      <c r="B442" s="472"/>
      <c r="C442" s="473"/>
      <c r="D442" s="473"/>
      <c r="E442" s="473"/>
      <c r="F442" s="474"/>
      <c r="G442" s="474"/>
      <c r="H442" s="474"/>
      <c r="I442" s="474"/>
      <c r="J442" s="474"/>
      <c r="K442" s="475"/>
      <c r="AA442" s="120" t="s">
        <v>768</v>
      </c>
      <c r="AB442" s="120" t="s">
        <v>486</v>
      </c>
      <c r="AC442" s="397">
        <v>663</v>
      </c>
      <c r="AD442" s="397">
        <v>85950</v>
      </c>
      <c r="AE442" s="397">
        <v>130</v>
      </c>
      <c r="AF442" s="398">
        <v>0.43204485439212986</v>
      </c>
      <c r="AG442" s="398">
        <v>0.89937584890846656</v>
      </c>
    </row>
    <row r="443" spans="1:33" x14ac:dyDescent="0.45">
      <c r="A443" s="472"/>
      <c r="B443" s="472"/>
      <c r="C443" s="473"/>
      <c r="D443" s="473"/>
      <c r="E443" s="473"/>
      <c r="F443" s="474"/>
      <c r="G443" s="474"/>
      <c r="H443" s="474"/>
      <c r="I443" s="474"/>
      <c r="J443" s="474"/>
      <c r="K443" s="475"/>
      <c r="AA443" s="120" t="s">
        <v>769</v>
      </c>
      <c r="AB443" s="120" t="s">
        <v>486</v>
      </c>
      <c r="AC443" s="397">
        <v>922</v>
      </c>
      <c r="AD443" s="397">
        <v>116915</v>
      </c>
      <c r="AE443" s="397">
        <v>127</v>
      </c>
      <c r="AF443" s="398">
        <v>0.43584314145529596</v>
      </c>
      <c r="AG443" s="398">
        <v>0.90112615712304933</v>
      </c>
    </row>
    <row r="444" spans="1:33" x14ac:dyDescent="0.45">
      <c r="A444" s="472"/>
      <c r="B444" s="472"/>
      <c r="C444" s="473"/>
      <c r="D444" s="473"/>
      <c r="E444" s="473"/>
      <c r="F444" s="474"/>
      <c r="G444" s="474"/>
      <c r="H444" s="474"/>
      <c r="I444" s="474"/>
      <c r="J444" s="474"/>
      <c r="K444" s="475"/>
      <c r="AA444" s="120" t="s">
        <v>770</v>
      </c>
      <c r="AB444" s="120" t="s">
        <v>486</v>
      </c>
      <c r="AC444" s="397">
        <v>751</v>
      </c>
      <c r="AD444" s="397">
        <v>95019</v>
      </c>
      <c r="AE444" s="397">
        <v>127</v>
      </c>
      <c r="AF444" s="398">
        <v>0.4389369739763781</v>
      </c>
      <c r="AG444" s="398">
        <v>0.90254866523784583</v>
      </c>
    </row>
    <row r="445" spans="1:33" x14ac:dyDescent="0.45">
      <c r="A445" s="472"/>
      <c r="B445" s="472"/>
      <c r="C445" s="473"/>
      <c r="D445" s="473"/>
      <c r="E445" s="473"/>
      <c r="F445" s="474"/>
      <c r="G445" s="474"/>
      <c r="H445" s="474"/>
      <c r="I445" s="474"/>
      <c r="J445" s="474"/>
      <c r="K445" s="475"/>
      <c r="AA445" s="120" t="s">
        <v>771</v>
      </c>
      <c r="AB445" s="120" t="s">
        <v>486</v>
      </c>
      <c r="AC445" s="397">
        <v>1308</v>
      </c>
      <c r="AD445" s="397">
        <v>160831</v>
      </c>
      <c r="AE445" s="397">
        <v>123</v>
      </c>
      <c r="AF445" s="398">
        <v>0.44432543328073953</v>
      </c>
      <c r="AG445" s="398">
        <v>0.90495643002815984</v>
      </c>
    </row>
    <row r="446" spans="1:33" x14ac:dyDescent="0.45">
      <c r="A446" s="472"/>
      <c r="B446" s="472"/>
      <c r="C446" s="473"/>
      <c r="D446" s="473"/>
      <c r="E446" s="473"/>
      <c r="F446" s="474"/>
      <c r="G446" s="474"/>
      <c r="H446" s="474"/>
      <c r="I446" s="474"/>
      <c r="J446" s="474"/>
      <c r="K446" s="475"/>
      <c r="AA446" s="120" t="s">
        <v>772</v>
      </c>
      <c r="AB446" s="120" t="s">
        <v>529</v>
      </c>
      <c r="AC446" s="397">
        <v>1251</v>
      </c>
      <c r="AD446" s="397">
        <v>151284</v>
      </c>
      <c r="AE446" s="397">
        <v>121</v>
      </c>
      <c r="AF446" s="398">
        <v>0.44947907440440632</v>
      </c>
      <c r="AG446" s="398">
        <v>0.9072212688250203</v>
      </c>
    </row>
    <row r="447" spans="1:33" x14ac:dyDescent="0.45">
      <c r="A447" s="472"/>
      <c r="B447" s="472"/>
      <c r="C447" s="473"/>
      <c r="D447" s="473"/>
      <c r="E447" s="473"/>
      <c r="F447" s="474"/>
      <c r="G447" s="474"/>
      <c r="H447" s="474"/>
      <c r="I447" s="474"/>
      <c r="J447" s="474"/>
      <c r="K447" s="475"/>
      <c r="AA447" s="120" t="s">
        <v>773</v>
      </c>
      <c r="AB447" s="120" t="s">
        <v>486</v>
      </c>
      <c r="AC447" s="397">
        <v>871</v>
      </c>
      <c r="AD447" s="397">
        <v>103895</v>
      </c>
      <c r="AE447" s="397">
        <v>119</v>
      </c>
      <c r="AF447" s="398">
        <v>0.4530672609901088</v>
      </c>
      <c r="AG447" s="398">
        <v>0.90877665754292714</v>
      </c>
    </row>
    <row r="448" spans="1:33" x14ac:dyDescent="0.45">
      <c r="A448" s="472"/>
      <c r="B448" s="472"/>
      <c r="C448" s="473"/>
      <c r="D448" s="473"/>
      <c r="E448" s="473"/>
      <c r="F448" s="474"/>
      <c r="G448" s="474"/>
      <c r="H448" s="474"/>
      <c r="I448" s="474"/>
      <c r="J448" s="474"/>
      <c r="K448" s="475"/>
      <c r="AA448" s="120" t="s">
        <v>774</v>
      </c>
      <c r="AB448" s="120" t="s">
        <v>478</v>
      </c>
      <c r="AC448" s="397">
        <v>837</v>
      </c>
      <c r="AD448" s="397">
        <v>95696</v>
      </c>
      <c r="AE448" s="397">
        <v>114</v>
      </c>
      <c r="AF448" s="398">
        <v>0.45651538059083552</v>
      </c>
      <c r="AG448" s="398">
        <v>0.9102093008727199</v>
      </c>
    </row>
    <row r="449" spans="1:33" x14ac:dyDescent="0.45">
      <c r="A449" s="472"/>
      <c r="B449" s="472"/>
      <c r="C449" s="473"/>
      <c r="D449" s="473"/>
      <c r="E449" s="473"/>
      <c r="F449" s="474"/>
      <c r="G449" s="474"/>
      <c r="H449" s="474"/>
      <c r="I449" s="474"/>
      <c r="J449" s="474"/>
      <c r="K449" s="475"/>
      <c r="AA449" s="120" t="s">
        <v>775</v>
      </c>
      <c r="AB449" s="120" t="s">
        <v>478</v>
      </c>
      <c r="AC449" s="397">
        <v>849</v>
      </c>
      <c r="AD449" s="397">
        <v>94590</v>
      </c>
      <c r="AE449" s="397">
        <v>111</v>
      </c>
      <c r="AF449" s="398">
        <v>0.46001293559802425</v>
      </c>
      <c r="AG449" s="398">
        <v>0.91162538652483793</v>
      </c>
    </row>
    <row r="450" spans="1:33" x14ac:dyDescent="0.45">
      <c r="A450" s="472"/>
      <c r="B450" s="472"/>
      <c r="C450" s="473"/>
      <c r="D450" s="473"/>
      <c r="E450" s="473"/>
      <c r="F450" s="474"/>
      <c r="G450" s="474"/>
      <c r="H450" s="474"/>
      <c r="I450" s="474"/>
      <c r="J450" s="474"/>
      <c r="K450" s="475"/>
      <c r="AA450" s="120" t="s">
        <v>776</v>
      </c>
      <c r="AB450" s="120" t="s">
        <v>486</v>
      </c>
      <c r="AC450" s="397">
        <v>966</v>
      </c>
      <c r="AD450" s="397">
        <v>104837</v>
      </c>
      <c r="AE450" s="397">
        <v>109</v>
      </c>
      <c r="AF450" s="398">
        <v>0.46399248581821778</v>
      </c>
      <c r="AG450" s="398">
        <v>0.91319487771324159</v>
      </c>
    </row>
    <row r="451" spans="1:33" x14ac:dyDescent="0.45">
      <c r="A451" s="472"/>
      <c r="B451" s="472"/>
      <c r="C451" s="473"/>
      <c r="D451" s="473"/>
      <c r="E451" s="473"/>
      <c r="F451" s="474"/>
      <c r="G451" s="474"/>
      <c r="H451" s="474"/>
      <c r="I451" s="474"/>
      <c r="J451" s="474"/>
      <c r="K451" s="475"/>
      <c r="AA451" s="120" t="s">
        <v>777</v>
      </c>
      <c r="AB451" s="120" t="s">
        <v>486</v>
      </c>
      <c r="AC451" s="397">
        <v>1305</v>
      </c>
      <c r="AD451" s="397">
        <v>139968</v>
      </c>
      <c r="AE451" s="397">
        <v>107</v>
      </c>
      <c r="AF451" s="398">
        <v>0.46936858627096373</v>
      </c>
      <c r="AG451" s="398">
        <v>0.9152903072148344</v>
      </c>
    </row>
    <row r="452" spans="1:33" x14ac:dyDescent="0.45">
      <c r="A452" s="472"/>
      <c r="B452" s="472"/>
      <c r="C452" s="473"/>
      <c r="D452" s="473"/>
      <c r="E452" s="473"/>
      <c r="F452" s="474"/>
      <c r="G452" s="474"/>
      <c r="H452" s="474"/>
      <c r="I452" s="474"/>
      <c r="J452" s="474"/>
      <c r="K452" s="475"/>
      <c r="AA452" s="120" t="s">
        <v>778</v>
      </c>
      <c r="AB452" s="120" t="s">
        <v>486</v>
      </c>
      <c r="AC452" s="397">
        <v>481</v>
      </c>
      <c r="AD452" s="397">
        <v>51209</v>
      </c>
      <c r="AE452" s="397">
        <v>106</v>
      </c>
      <c r="AF452" s="398">
        <v>0.47135012214665012</v>
      </c>
      <c r="AG452" s="398">
        <v>0.91605694565609996</v>
      </c>
    </row>
    <row r="453" spans="1:33" x14ac:dyDescent="0.45">
      <c r="A453" s="472"/>
      <c r="B453" s="472"/>
      <c r="C453" s="473"/>
      <c r="D453" s="473"/>
      <c r="E453" s="473"/>
      <c r="F453" s="474"/>
      <c r="G453" s="474"/>
      <c r="H453" s="474"/>
      <c r="I453" s="474"/>
      <c r="J453" s="474"/>
      <c r="K453" s="475"/>
      <c r="AA453" s="120" t="s">
        <v>779</v>
      </c>
      <c r="AB453" s="120" t="s">
        <v>486</v>
      </c>
      <c r="AC453" s="397">
        <v>1038</v>
      </c>
      <c r="AD453" s="397">
        <v>108678</v>
      </c>
      <c r="AE453" s="397">
        <v>105</v>
      </c>
      <c r="AF453" s="398">
        <v>0.47562628480561586</v>
      </c>
      <c r="AG453" s="398">
        <v>0.91768393959310057</v>
      </c>
    </row>
    <row r="454" spans="1:33" x14ac:dyDescent="0.45">
      <c r="A454" s="472"/>
      <c r="B454" s="472"/>
      <c r="C454" s="473"/>
      <c r="D454" s="473"/>
      <c r="E454" s="473"/>
      <c r="F454" s="474"/>
      <c r="G454" s="474"/>
      <c r="H454" s="474"/>
      <c r="I454" s="474"/>
      <c r="J454" s="474"/>
      <c r="K454" s="475"/>
      <c r="AA454" s="120" t="s">
        <v>780</v>
      </c>
      <c r="AB454" s="120" t="s">
        <v>486</v>
      </c>
      <c r="AC454" s="397">
        <v>1439</v>
      </c>
      <c r="AD454" s="397">
        <v>151383</v>
      </c>
      <c r="AE454" s="397">
        <v>105</v>
      </c>
      <c r="AF454" s="398">
        <v>0.48155441396385446</v>
      </c>
      <c r="AG454" s="398">
        <v>0.91995026049673301</v>
      </c>
    </row>
    <row r="455" spans="1:33" x14ac:dyDescent="0.45">
      <c r="A455" s="472"/>
      <c r="B455" s="472"/>
      <c r="C455" s="473"/>
      <c r="D455" s="473"/>
      <c r="E455" s="473"/>
      <c r="F455" s="474"/>
      <c r="G455" s="474"/>
      <c r="H455" s="474"/>
      <c r="I455" s="474"/>
      <c r="J455" s="474"/>
      <c r="K455" s="475"/>
      <c r="AA455" s="120" t="s">
        <v>781</v>
      </c>
      <c r="AB455" s="120" t="s">
        <v>478</v>
      </c>
      <c r="AC455" s="397">
        <v>382</v>
      </c>
      <c r="AD455" s="397">
        <v>39927</v>
      </c>
      <c r="AE455" s="397">
        <v>105</v>
      </c>
      <c r="AF455" s="398">
        <v>0.48312810773622916</v>
      </c>
      <c r="AG455" s="398">
        <v>0.92054799864909709</v>
      </c>
    </row>
    <row r="456" spans="1:33" x14ac:dyDescent="0.45">
      <c r="A456" s="472"/>
      <c r="B456" s="472"/>
      <c r="C456" s="473"/>
      <c r="D456" s="473"/>
      <c r="E456" s="473"/>
      <c r="F456" s="474"/>
      <c r="G456" s="474"/>
      <c r="H456" s="474"/>
      <c r="I456" s="474"/>
      <c r="J456" s="474"/>
      <c r="K456" s="475"/>
      <c r="AA456" s="120" t="s">
        <v>782</v>
      </c>
      <c r="AB456" s="120" t="s">
        <v>486</v>
      </c>
      <c r="AC456" s="397">
        <v>583</v>
      </c>
      <c r="AD456" s="397">
        <v>60888</v>
      </c>
      <c r="AE456" s="397">
        <v>104</v>
      </c>
      <c r="AF456" s="398">
        <v>0.48552984456684284</v>
      </c>
      <c r="AG456" s="398">
        <v>0.92145953922617885</v>
      </c>
    </row>
    <row r="457" spans="1:33" x14ac:dyDescent="0.45">
      <c r="A457" s="472"/>
      <c r="B457" s="472"/>
      <c r="C457" s="473"/>
      <c r="D457" s="473"/>
      <c r="E457" s="473"/>
      <c r="F457" s="474"/>
      <c r="G457" s="474"/>
      <c r="H457" s="474"/>
      <c r="I457" s="474"/>
      <c r="J457" s="474"/>
      <c r="K457" s="475"/>
      <c r="AA457" s="120" t="s">
        <v>783</v>
      </c>
      <c r="AB457" s="120" t="s">
        <v>478</v>
      </c>
      <c r="AC457" s="397">
        <v>1126</v>
      </c>
      <c r="AD457" s="397">
        <v>117203</v>
      </c>
      <c r="AE457" s="397">
        <v>104</v>
      </c>
      <c r="AF457" s="398">
        <v>0.49016853353986345</v>
      </c>
      <c r="AG457" s="398">
        <v>0.92321415902409831</v>
      </c>
    </row>
    <row r="458" spans="1:33" x14ac:dyDescent="0.45">
      <c r="A458" s="472"/>
      <c r="B458" s="472"/>
      <c r="C458" s="473"/>
      <c r="D458" s="473"/>
      <c r="E458" s="473"/>
      <c r="F458" s="474"/>
      <c r="G458" s="474"/>
      <c r="H458" s="474"/>
      <c r="I458" s="474"/>
      <c r="J458" s="474"/>
      <c r="K458" s="475"/>
      <c r="AA458" s="120" t="s">
        <v>784</v>
      </c>
      <c r="AB458" s="120" t="s">
        <v>478</v>
      </c>
      <c r="AC458" s="397">
        <v>3197</v>
      </c>
      <c r="AD458" s="397">
        <v>323136</v>
      </c>
      <c r="AE458" s="397">
        <v>101</v>
      </c>
      <c r="AF458" s="398">
        <v>0.50333894974478977</v>
      </c>
      <c r="AG458" s="398">
        <v>0.92805175552777541</v>
      </c>
    </row>
    <row r="459" spans="1:33" x14ac:dyDescent="0.45">
      <c r="A459" s="472"/>
      <c r="B459" s="472"/>
      <c r="C459" s="473"/>
      <c r="D459" s="473"/>
      <c r="E459" s="473"/>
      <c r="F459" s="474"/>
      <c r="G459" s="474"/>
      <c r="H459" s="474"/>
      <c r="I459" s="474"/>
      <c r="J459" s="474"/>
      <c r="K459" s="475"/>
      <c r="AA459" s="120" t="s">
        <v>785</v>
      </c>
      <c r="AB459" s="120" t="s">
        <v>486</v>
      </c>
      <c r="AC459" s="397">
        <v>887</v>
      </c>
      <c r="AD459" s="397">
        <v>87004</v>
      </c>
      <c r="AE459" s="397">
        <v>98</v>
      </c>
      <c r="AF459" s="398">
        <v>0.5069930502057749</v>
      </c>
      <c r="AG459" s="398">
        <v>0.92935427287714512</v>
      </c>
    </row>
    <row r="460" spans="1:33" x14ac:dyDescent="0.45">
      <c r="A460" s="472"/>
      <c r="B460" s="472"/>
      <c r="C460" s="473"/>
      <c r="D460" s="473"/>
      <c r="E460" s="473"/>
      <c r="F460" s="474"/>
      <c r="G460" s="474"/>
      <c r="H460" s="474"/>
      <c r="I460" s="474"/>
      <c r="J460" s="474"/>
      <c r="K460" s="475"/>
      <c r="AA460" s="120" t="s">
        <v>786</v>
      </c>
      <c r="AB460" s="120" t="s">
        <v>478</v>
      </c>
      <c r="AC460" s="397">
        <v>712</v>
      </c>
      <c r="AD460" s="397">
        <v>70043</v>
      </c>
      <c r="AE460" s="397">
        <v>98</v>
      </c>
      <c r="AF460" s="398">
        <v>0.50992621765585544</v>
      </c>
      <c r="AG460" s="398">
        <v>0.93040287090369456</v>
      </c>
    </row>
    <row r="461" spans="1:33" x14ac:dyDescent="0.45">
      <c r="A461" s="472"/>
      <c r="B461" s="472"/>
      <c r="C461" s="473"/>
      <c r="D461" s="473"/>
      <c r="E461" s="473"/>
      <c r="F461" s="474"/>
      <c r="G461" s="474"/>
      <c r="H461" s="474"/>
      <c r="I461" s="474"/>
      <c r="J461" s="474"/>
      <c r="K461" s="475"/>
      <c r="AA461" s="120" t="s">
        <v>787</v>
      </c>
      <c r="AB461" s="120" t="s">
        <v>499</v>
      </c>
      <c r="AC461" s="397">
        <v>1262</v>
      </c>
      <c r="AD461" s="397">
        <v>122010</v>
      </c>
      <c r="AE461" s="397">
        <v>97</v>
      </c>
      <c r="AF461" s="398">
        <v>0.51512517456877904</v>
      </c>
      <c r="AG461" s="398">
        <v>0.9322294552193191</v>
      </c>
    </row>
    <row r="462" spans="1:33" x14ac:dyDescent="0.45">
      <c r="A462" s="472"/>
      <c r="B462" s="472"/>
      <c r="C462" s="473"/>
      <c r="D462" s="473"/>
      <c r="E462" s="473"/>
      <c r="F462" s="474"/>
      <c r="G462" s="474"/>
      <c r="H462" s="474"/>
      <c r="I462" s="474"/>
      <c r="J462" s="474"/>
      <c r="K462" s="475"/>
      <c r="AA462" s="120" t="s">
        <v>788</v>
      </c>
      <c r="AB462" s="120" t="s">
        <v>486</v>
      </c>
      <c r="AC462" s="397">
        <v>732</v>
      </c>
      <c r="AD462" s="397">
        <v>68183</v>
      </c>
      <c r="AE462" s="397">
        <v>93</v>
      </c>
      <c r="AF462" s="398">
        <v>0.51814073436296304</v>
      </c>
      <c r="AG462" s="398">
        <v>0.9332502076034862</v>
      </c>
    </row>
    <row r="463" spans="1:33" x14ac:dyDescent="0.45">
      <c r="A463" s="472"/>
      <c r="B463" s="472"/>
      <c r="C463" s="473"/>
      <c r="D463" s="473"/>
      <c r="E463" s="473"/>
      <c r="F463" s="474"/>
      <c r="G463" s="474"/>
      <c r="H463" s="474"/>
      <c r="I463" s="474"/>
      <c r="J463" s="474"/>
      <c r="K463" s="475"/>
      <c r="AA463" s="120" t="s">
        <v>789</v>
      </c>
      <c r="AB463" s="120" t="s">
        <v>499</v>
      </c>
      <c r="AC463" s="397">
        <v>1222</v>
      </c>
      <c r="AD463" s="397">
        <v>112610</v>
      </c>
      <c r="AE463" s="397">
        <v>92</v>
      </c>
      <c r="AF463" s="398">
        <v>0.52317490658767984</v>
      </c>
      <c r="AG463" s="398">
        <v>0.9349360666296519</v>
      </c>
    </row>
    <row r="464" spans="1:33" x14ac:dyDescent="0.45">
      <c r="A464" s="472"/>
      <c r="B464" s="472"/>
      <c r="C464" s="473"/>
      <c r="D464" s="473"/>
      <c r="E464" s="473"/>
      <c r="F464" s="474"/>
      <c r="G464" s="474"/>
      <c r="H464" s="474"/>
      <c r="I464" s="474"/>
      <c r="J464" s="474"/>
      <c r="K464" s="475"/>
      <c r="AA464" s="120" t="s">
        <v>790</v>
      </c>
      <c r="AB464" s="120" t="s">
        <v>486</v>
      </c>
      <c r="AC464" s="397">
        <v>792</v>
      </c>
      <c r="AD464" s="397">
        <v>72325</v>
      </c>
      <c r="AE464" s="397">
        <v>91</v>
      </c>
      <c r="AF464" s="398">
        <v>0.52643764341417398</v>
      </c>
      <c r="AG464" s="398">
        <v>0.9360188279658338</v>
      </c>
    </row>
    <row r="465" spans="1:33" x14ac:dyDescent="0.45">
      <c r="A465" s="472"/>
      <c r="B465" s="472"/>
      <c r="C465" s="473"/>
      <c r="D465" s="473"/>
      <c r="E465" s="473"/>
      <c r="F465" s="474"/>
      <c r="G465" s="474"/>
      <c r="H465" s="474"/>
      <c r="I465" s="474"/>
      <c r="J465" s="474"/>
      <c r="K465" s="475"/>
      <c r="AA465" s="120" t="s">
        <v>791</v>
      </c>
      <c r="AB465" s="120" t="s">
        <v>486</v>
      </c>
      <c r="AC465" s="397">
        <v>913</v>
      </c>
      <c r="AD465" s="397">
        <v>82311</v>
      </c>
      <c r="AE465" s="397">
        <v>90</v>
      </c>
      <c r="AF465" s="398">
        <v>0.53019885392249355</v>
      </c>
      <c r="AG465" s="398">
        <v>0.93725108746590235</v>
      </c>
    </row>
    <row r="466" spans="1:33" x14ac:dyDescent="0.45">
      <c r="A466" s="472"/>
      <c r="B466" s="472"/>
      <c r="C466" s="473"/>
      <c r="D466" s="473"/>
      <c r="E466" s="473"/>
      <c r="F466" s="474"/>
      <c r="G466" s="474"/>
      <c r="H466" s="474"/>
      <c r="I466" s="474"/>
      <c r="J466" s="474"/>
      <c r="K466" s="475"/>
      <c r="AA466" s="120" t="s">
        <v>792</v>
      </c>
      <c r="AB466" s="120" t="s">
        <v>486</v>
      </c>
      <c r="AC466" s="397">
        <v>1086</v>
      </c>
      <c r="AD466" s="397">
        <v>97145</v>
      </c>
      <c r="AE466" s="397">
        <v>89</v>
      </c>
      <c r="AF466" s="398">
        <v>0.53467275820730742</v>
      </c>
      <c r="AG466" s="398">
        <v>0.93870542344935737</v>
      </c>
    </row>
    <row r="467" spans="1:33" x14ac:dyDescent="0.45">
      <c r="A467" s="472"/>
      <c r="B467" s="472"/>
      <c r="C467" s="473"/>
      <c r="D467" s="473"/>
      <c r="E467" s="473"/>
      <c r="F467" s="474"/>
      <c r="G467" s="474"/>
      <c r="H467" s="474"/>
      <c r="I467" s="474"/>
      <c r="J467" s="474"/>
      <c r="K467" s="475"/>
      <c r="AA467" s="120" t="s">
        <v>793</v>
      </c>
      <c r="AB467" s="120" t="s">
        <v>478</v>
      </c>
      <c r="AC467" s="397">
        <v>2180</v>
      </c>
      <c r="AD467" s="397">
        <v>192801</v>
      </c>
      <c r="AE467" s="397">
        <v>88</v>
      </c>
      <c r="AF467" s="398">
        <v>0.54365352371457643</v>
      </c>
      <c r="AG467" s="398">
        <v>0.94159180393158615</v>
      </c>
    </row>
    <row r="468" spans="1:33" x14ac:dyDescent="0.45">
      <c r="A468" s="472"/>
      <c r="B468" s="472"/>
      <c r="C468" s="473"/>
      <c r="D468" s="473"/>
      <c r="E468" s="473"/>
      <c r="F468" s="474"/>
      <c r="G468" s="474"/>
      <c r="H468" s="474"/>
      <c r="I468" s="474"/>
      <c r="J468" s="474"/>
      <c r="K468" s="475"/>
      <c r="AA468" s="120" t="s">
        <v>794</v>
      </c>
      <c r="AB468" s="120" t="s">
        <v>486</v>
      </c>
      <c r="AC468" s="397">
        <v>1156</v>
      </c>
      <c r="AD468" s="397">
        <v>95667</v>
      </c>
      <c r="AE468" s="397">
        <v>83</v>
      </c>
      <c r="AF468" s="398">
        <v>0.54841580120375211</v>
      </c>
      <c r="AG468" s="398">
        <v>0.94302401310889006</v>
      </c>
    </row>
    <row r="469" spans="1:33" x14ac:dyDescent="0.45">
      <c r="A469" s="472"/>
      <c r="B469" s="472"/>
      <c r="C469" s="473"/>
      <c r="D469" s="473"/>
      <c r="E469" s="473"/>
      <c r="F469" s="474"/>
      <c r="G469" s="474"/>
      <c r="H469" s="474"/>
      <c r="I469" s="474"/>
      <c r="J469" s="474"/>
      <c r="K469" s="475"/>
      <c r="AA469" s="120" t="s">
        <v>795</v>
      </c>
      <c r="AB469" s="120" t="s">
        <v>529</v>
      </c>
      <c r="AC469" s="397">
        <v>1831</v>
      </c>
      <c r="AD469" s="397">
        <v>148528</v>
      </c>
      <c r="AE469" s="397">
        <v>81</v>
      </c>
      <c r="AF469" s="398">
        <v>0.55595882030641708</v>
      </c>
      <c r="AG469" s="398">
        <v>0.94524759244854328</v>
      </c>
    </row>
    <row r="470" spans="1:33" x14ac:dyDescent="0.45">
      <c r="A470" s="472"/>
      <c r="B470" s="472"/>
      <c r="C470" s="473"/>
      <c r="D470" s="473"/>
      <c r="E470" s="473"/>
      <c r="F470" s="474"/>
      <c r="G470" s="474"/>
      <c r="H470" s="474"/>
      <c r="I470" s="474"/>
      <c r="J470" s="474"/>
      <c r="K470" s="475"/>
      <c r="AA470" s="120" t="s">
        <v>796</v>
      </c>
      <c r="AB470" s="120" t="s">
        <v>486</v>
      </c>
      <c r="AC470" s="397">
        <v>1767</v>
      </c>
      <c r="AD470" s="397">
        <v>141727</v>
      </c>
      <c r="AE470" s="397">
        <v>80</v>
      </c>
      <c r="AF470" s="398">
        <v>0.56323818390795133</v>
      </c>
      <c r="AG470" s="398">
        <v>0.94736935554419544</v>
      </c>
    </row>
    <row r="471" spans="1:33" x14ac:dyDescent="0.45">
      <c r="A471" s="472"/>
      <c r="B471" s="472"/>
      <c r="C471" s="473"/>
      <c r="D471" s="473"/>
      <c r="E471" s="473"/>
      <c r="F471" s="474"/>
      <c r="G471" s="474"/>
      <c r="H471" s="474"/>
      <c r="I471" s="474"/>
      <c r="J471" s="474"/>
      <c r="K471" s="475"/>
      <c r="AA471" s="120" t="s">
        <v>797</v>
      </c>
      <c r="AB471" s="120" t="s">
        <v>478</v>
      </c>
      <c r="AC471" s="397">
        <v>2370</v>
      </c>
      <c r="AD471" s="397">
        <v>188771</v>
      </c>
      <c r="AE471" s="397">
        <v>80</v>
      </c>
      <c r="AF471" s="398">
        <v>0.57300167668420254</v>
      </c>
      <c r="AG471" s="398">
        <v>0.95019540380126255</v>
      </c>
    </row>
    <row r="472" spans="1:33" x14ac:dyDescent="0.45">
      <c r="A472" s="472"/>
      <c r="B472" s="472"/>
      <c r="C472" s="473"/>
      <c r="D472" s="473"/>
      <c r="E472" s="473"/>
      <c r="F472" s="473"/>
      <c r="G472" s="479"/>
      <c r="H472" s="473"/>
      <c r="I472" s="479"/>
      <c r="J472" s="473"/>
      <c r="K472" s="480"/>
      <c r="AA472" s="120" t="s">
        <v>798</v>
      </c>
      <c r="AB472" s="120" t="s">
        <v>486</v>
      </c>
      <c r="AC472" s="397">
        <v>1242</v>
      </c>
      <c r="AD472" s="397">
        <v>97761</v>
      </c>
      <c r="AE472" s="397">
        <v>79</v>
      </c>
      <c r="AF472" s="398">
        <v>0.5781182412530228</v>
      </c>
      <c r="AG472" s="398">
        <v>0.95165896178240972</v>
      </c>
    </row>
    <row r="473" spans="1:33" x14ac:dyDescent="0.45">
      <c r="A473" s="472"/>
      <c r="B473" s="472"/>
      <c r="C473" s="473"/>
      <c r="D473" s="473"/>
      <c r="E473" s="473"/>
      <c r="F473" s="474"/>
      <c r="G473" s="474"/>
      <c r="H473" s="474"/>
      <c r="I473" s="474"/>
      <c r="J473" s="474"/>
      <c r="K473" s="475"/>
      <c r="AA473" s="120" t="s">
        <v>799</v>
      </c>
      <c r="AB473" s="120" t="s">
        <v>478</v>
      </c>
      <c r="AC473" s="397">
        <v>1618</v>
      </c>
      <c r="AD473" s="397">
        <v>125818</v>
      </c>
      <c r="AE473" s="397">
        <v>78</v>
      </c>
      <c r="AF473" s="398">
        <v>0.58478378189098668</v>
      </c>
      <c r="AG473" s="398">
        <v>0.95354255481104055</v>
      </c>
    </row>
    <row r="474" spans="1:33" x14ac:dyDescent="0.45">
      <c r="A474" s="472"/>
      <c r="B474" s="472"/>
      <c r="C474" s="473"/>
      <c r="D474" s="473"/>
      <c r="E474" s="473"/>
      <c r="F474" s="474"/>
      <c r="G474" s="474"/>
      <c r="H474" s="474"/>
      <c r="I474" s="474"/>
      <c r="J474" s="474"/>
      <c r="K474" s="475"/>
      <c r="AA474" s="120" t="s">
        <v>800</v>
      </c>
      <c r="AB474" s="120" t="s">
        <v>486</v>
      </c>
      <c r="AC474" s="397">
        <v>1165</v>
      </c>
      <c r="AD474" s="397">
        <v>89862</v>
      </c>
      <c r="AE474" s="397">
        <v>77</v>
      </c>
      <c r="AF474" s="398">
        <v>0.58958313593500888</v>
      </c>
      <c r="AG474" s="398">
        <v>0.95488785863671599</v>
      </c>
    </row>
    <row r="475" spans="1:33" x14ac:dyDescent="0.45">
      <c r="A475" s="472"/>
      <c r="B475" s="472"/>
      <c r="C475" s="473"/>
      <c r="D475" s="473"/>
      <c r="E475" s="473"/>
      <c r="F475" s="474"/>
      <c r="G475" s="474"/>
      <c r="H475" s="474"/>
      <c r="I475" s="474"/>
      <c r="J475" s="474"/>
      <c r="K475" s="475"/>
      <c r="AA475" s="120" t="s">
        <v>801</v>
      </c>
      <c r="AB475" s="120" t="s">
        <v>529</v>
      </c>
      <c r="AC475" s="397">
        <v>1986</v>
      </c>
      <c r="AD475" s="397">
        <v>144838</v>
      </c>
      <c r="AE475" s="397">
        <v>73</v>
      </c>
      <c r="AF475" s="398">
        <v>0.5977646957044751</v>
      </c>
      <c r="AG475" s="398">
        <v>0.95705619581486878</v>
      </c>
    </row>
    <row r="476" spans="1:33" x14ac:dyDescent="0.45">
      <c r="A476" s="472"/>
      <c r="B476" s="472"/>
      <c r="C476" s="473"/>
      <c r="D476" s="473"/>
      <c r="E476" s="473"/>
      <c r="F476" s="474"/>
      <c r="G476" s="474"/>
      <c r="H476" s="474"/>
      <c r="I476" s="474"/>
      <c r="J476" s="474"/>
      <c r="K476" s="475"/>
      <c r="AA476" s="120" t="s">
        <v>802</v>
      </c>
      <c r="AB476" s="120" t="s">
        <v>486</v>
      </c>
      <c r="AC476" s="397">
        <v>1311</v>
      </c>
      <c r="AD476" s="397">
        <v>91594</v>
      </c>
      <c r="AE476" s="397">
        <v>70</v>
      </c>
      <c r="AF476" s="398">
        <v>0.60316551386045214</v>
      </c>
      <c r="AG476" s="398">
        <v>0.95842742902366573</v>
      </c>
    </row>
    <row r="477" spans="1:33" x14ac:dyDescent="0.45">
      <c r="A477" s="472"/>
      <c r="B477" s="472"/>
      <c r="C477" s="473"/>
      <c r="D477" s="473"/>
      <c r="E477" s="473"/>
      <c r="F477" s="474"/>
      <c r="G477" s="474"/>
      <c r="H477" s="474"/>
      <c r="I477" s="474"/>
      <c r="J477" s="474"/>
      <c r="K477" s="475"/>
      <c r="AA477" s="120" t="s">
        <v>803</v>
      </c>
      <c r="AB477" s="120" t="s">
        <v>486</v>
      </c>
      <c r="AC477" s="397">
        <v>984</v>
      </c>
      <c r="AD477" s="397">
        <v>68267</v>
      </c>
      <c r="AE477" s="397">
        <v>69</v>
      </c>
      <c r="AF477" s="398">
        <v>0.60721921719033867</v>
      </c>
      <c r="AG477" s="398">
        <v>0.95944943895297274</v>
      </c>
    </row>
    <row r="478" spans="1:33" x14ac:dyDescent="0.45">
      <c r="A478" s="472"/>
      <c r="B478" s="472"/>
      <c r="C478" s="473"/>
      <c r="D478" s="473"/>
      <c r="E478" s="473"/>
      <c r="F478" s="474"/>
      <c r="G478" s="474"/>
      <c r="H478" s="474"/>
      <c r="I478" s="474"/>
      <c r="J478" s="474"/>
      <c r="K478" s="475"/>
      <c r="AA478" s="120" t="s">
        <v>804</v>
      </c>
      <c r="AB478" s="120" t="s">
        <v>486</v>
      </c>
      <c r="AC478" s="397">
        <v>1535</v>
      </c>
      <c r="AD478" s="397">
        <v>105088</v>
      </c>
      <c r="AE478" s="397">
        <v>68</v>
      </c>
      <c r="AF478" s="398">
        <v>0.61354282960027351</v>
      </c>
      <c r="AG478" s="398">
        <v>0.9610226878060204</v>
      </c>
    </row>
    <row r="479" spans="1:33" x14ac:dyDescent="0.45">
      <c r="A479" s="472"/>
      <c r="B479" s="472"/>
      <c r="C479" s="473"/>
      <c r="D479" s="473"/>
      <c r="E479" s="473"/>
      <c r="F479" s="474"/>
      <c r="G479" s="474"/>
      <c r="H479" s="474"/>
      <c r="I479" s="474"/>
      <c r="J479" s="474"/>
      <c r="K479" s="475"/>
      <c r="AA479" s="120" t="s">
        <v>805</v>
      </c>
      <c r="AB479" s="120" t="s">
        <v>478</v>
      </c>
      <c r="AC479" s="397">
        <v>5018</v>
      </c>
      <c r="AD479" s="397">
        <v>322434</v>
      </c>
      <c r="AE479" s="397">
        <v>64</v>
      </c>
      <c r="AF479" s="398">
        <v>0.63421506873581301</v>
      </c>
      <c r="AG479" s="398">
        <v>0.96584977482531464</v>
      </c>
    </row>
    <row r="480" spans="1:33" x14ac:dyDescent="0.45">
      <c r="A480" s="472"/>
      <c r="B480" s="472"/>
      <c r="C480" s="473"/>
      <c r="D480" s="473"/>
      <c r="E480" s="473"/>
      <c r="F480" s="474"/>
      <c r="G480" s="474"/>
      <c r="H480" s="474"/>
      <c r="I480" s="474"/>
      <c r="J480" s="474"/>
      <c r="K480" s="475"/>
      <c r="AA480" s="120" t="s">
        <v>806</v>
      </c>
      <c r="AB480" s="120" t="s">
        <v>499</v>
      </c>
      <c r="AC480" s="397">
        <v>2182</v>
      </c>
      <c r="AD480" s="397">
        <v>116200</v>
      </c>
      <c r="AE480" s="397">
        <v>53</v>
      </c>
      <c r="AF480" s="398">
        <v>0.64320407347749242</v>
      </c>
      <c r="AG480" s="398">
        <v>0.96758937893543329</v>
      </c>
    </row>
    <row r="481" spans="1:33" x14ac:dyDescent="0.45">
      <c r="A481" s="472"/>
      <c r="B481" s="472"/>
      <c r="C481" s="473"/>
      <c r="D481" s="473"/>
      <c r="E481" s="473"/>
      <c r="F481" s="474"/>
      <c r="G481" s="474"/>
      <c r="H481" s="474"/>
      <c r="I481" s="474"/>
      <c r="J481" s="474"/>
      <c r="K481" s="475"/>
      <c r="AA481" s="120" t="s">
        <v>807</v>
      </c>
      <c r="AB481" s="120" t="s">
        <v>486</v>
      </c>
      <c r="AC481" s="397">
        <v>1177</v>
      </c>
      <c r="AD481" s="397">
        <v>57142</v>
      </c>
      <c r="AE481" s="397">
        <v>49</v>
      </c>
      <c r="AF481" s="398">
        <v>0.6480528629279767</v>
      </c>
      <c r="AG481" s="398">
        <v>0.96844483898758815</v>
      </c>
    </row>
    <row r="482" spans="1:33" x14ac:dyDescent="0.45">
      <c r="A482" s="472"/>
      <c r="B482" s="472"/>
      <c r="C482" s="473"/>
      <c r="D482" s="473"/>
      <c r="E482" s="473"/>
      <c r="F482" s="474"/>
      <c r="G482" s="474"/>
      <c r="H482" s="474"/>
      <c r="I482" s="474"/>
      <c r="J482" s="474"/>
      <c r="K482" s="475"/>
      <c r="AA482" s="120" t="s">
        <v>808</v>
      </c>
      <c r="AB482" s="120" t="s">
        <v>478</v>
      </c>
      <c r="AC482" s="397">
        <v>2535</v>
      </c>
      <c r="AD482" s="397">
        <v>124560</v>
      </c>
      <c r="AE482" s="397">
        <v>49</v>
      </c>
      <c r="AF482" s="398">
        <v>0.65849609254308095</v>
      </c>
      <c r="AG482" s="398">
        <v>0.97030959878067224</v>
      </c>
    </row>
    <row r="483" spans="1:33" x14ac:dyDescent="0.45">
      <c r="A483" s="472"/>
      <c r="B483" s="472"/>
      <c r="C483" s="473"/>
      <c r="D483" s="473"/>
      <c r="E483" s="473"/>
      <c r="F483" s="474"/>
      <c r="G483" s="474"/>
      <c r="H483" s="474"/>
      <c r="I483" s="474"/>
      <c r="J483" s="474"/>
      <c r="K483" s="475"/>
      <c r="AA483" s="120" t="s">
        <v>809</v>
      </c>
      <c r="AB483" s="120" t="s">
        <v>486</v>
      </c>
      <c r="AC483" s="397">
        <v>1160</v>
      </c>
      <c r="AD483" s="397">
        <v>55796</v>
      </c>
      <c r="AE483" s="397">
        <v>48</v>
      </c>
      <c r="AF483" s="398">
        <v>0.66327484850107732</v>
      </c>
      <c r="AG483" s="398">
        <v>0.97114490816903865</v>
      </c>
    </row>
    <row r="484" spans="1:33" x14ac:dyDescent="0.45">
      <c r="A484" s="472"/>
      <c r="B484" s="472"/>
      <c r="C484" s="473"/>
      <c r="D484" s="473"/>
      <c r="E484" s="473"/>
      <c r="F484" s="474"/>
      <c r="G484" s="474"/>
      <c r="H484" s="474"/>
      <c r="I484" s="474"/>
      <c r="J484" s="474"/>
      <c r="K484" s="475"/>
      <c r="AA484" s="120" t="s">
        <v>810</v>
      </c>
      <c r="AB484" s="120" t="s">
        <v>499</v>
      </c>
      <c r="AC484" s="397">
        <v>2237</v>
      </c>
      <c r="AD484" s="397">
        <v>95820</v>
      </c>
      <c r="AE484" s="397">
        <v>43</v>
      </c>
      <c r="AF484" s="398">
        <v>0.67249043218904103</v>
      </c>
      <c r="AG484" s="398">
        <v>0.9725794078749902</v>
      </c>
    </row>
    <row r="485" spans="1:33" x14ac:dyDescent="0.45">
      <c r="A485" s="472"/>
      <c r="B485" s="472"/>
      <c r="C485" s="473"/>
      <c r="D485" s="473"/>
      <c r="E485" s="473"/>
      <c r="F485" s="474"/>
      <c r="G485" s="474"/>
      <c r="H485" s="474"/>
      <c r="I485" s="474"/>
      <c r="J485" s="474"/>
      <c r="K485" s="475"/>
      <c r="AA485" s="120" t="s">
        <v>811</v>
      </c>
      <c r="AB485" s="120" t="s">
        <v>499</v>
      </c>
      <c r="AC485" s="397">
        <v>2187</v>
      </c>
      <c r="AD485" s="397">
        <v>94210</v>
      </c>
      <c r="AE485" s="397">
        <v>43</v>
      </c>
      <c r="AF485" s="398">
        <v>0.68150003501674628</v>
      </c>
      <c r="AG485" s="398">
        <v>0.97398980463242801</v>
      </c>
    </row>
    <row r="486" spans="1:33" x14ac:dyDescent="0.45">
      <c r="A486" s="472"/>
      <c r="B486" s="472"/>
      <c r="C486" s="473"/>
      <c r="D486" s="473"/>
      <c r="E486" s="473"/>
      <c r="F486" s="474"/>
      <c r="G486" s="474"/>
      <c r="H486" s="474"/>
      <c r="I486" s="474"/>
      <c r="J486" s="474"/>
      <c r="K486" s="475"/>
      <c r="AA486" s="120" t="s">
        <v>812</v>
      </c>
      <c r="AB486" s="120" t="s">
        <v>499</v>
      </c>
      <c r="AC486" s="397">
        <v>6313</v>
      </c>
      <c r="AD486" s="397">
        <v>261210</v>
      </c>
      <c r="AE486" s="397">
        <v>41</v>
      </c>
      <c r="AF486" s="398">
        <v>0.70750717843298006</v>
      </c>
      <c r="AG486" s="398">
        <v>0.97790032089408108</v>
      </c>
    </row>
    <row r="487" spans="1:33" x14ac:dyDescent="0.45">
      <c r="A487" s="472"/>
      <c r="B487" s="472"/>
      <c r="C487" s="473"/>
      <c r="D487" s="473"/>
      <c r="E487" s="473"/>
      <c r="F487" s="474"/>
      <c r="G487" s="474"/>
      <c r="H487" s="474"/>
      <c r="I487" s="474"/>
      <c r="J487" s="474"/>
      <c r="K487" s="475"/>
      <c r="AA487" s="120" t="s">
        <v>813</v>
      </c>
      <c r="AB487" s="120" t="s">
        <v>529</v>
      </c>
      <c r="AC487" s="397">
        <v>2864</v>
      </c>
      <c r="AD487" s="397">
        <v>117397</v>
      </c>
      <c r="AE487" s="397">
        <v>41</v>
      </c>
      <c r="AF487" s="398">
        <v>0.71930576210858488</v>
      </c>
      <c r="AG487" s="398">
        <v>0.97965784502244246</v>
      </c>
    </row>
    <row r="488" spans="1:33" x14ac:dyDescent="0.45">
      <c r="A488" s="472"/>
      <c r="B488" s="472"/>
      <c r="C488" s="473"/>
      <c r="D488" s="473"/>
      <c r="E488" s="473"/>
      <c r="F488" s="474"/>
      <c r="G488" s="474"/>
      <c r="H488" s="474"/>
      <c r="I488" s="474"/>
      <c r="J488" s="474"/>
      <c r="K488" s="475"/>
      <c r="AA488" s="120" t="s">
        <v>814</v>
      </c>
      <c r="AB488" s="120" t="s">
        <v>486</v>
      </c>
      <c r="AC488" s="397">
        <v>1319</v>
      </c>
      <c r="AD488" s="397">
        <v>53730</v>
      </c>
      <c r="AE488" s="397">
        <v>41</v>
      </c>
      <c r="AF488" s="398">
        <v>0.72473953720220319</v>
      </c>
      <c r="AG488" s="398">
        <v>0.98046222478867895</v>
      </c>
    </row>
    <row r="489" spans="1:33" x14ac:dyDescent="0.45">
      <c r="A489" s="472"/>
      <c r="B489" s="472"/>
      <c r="C489" s="473"/>
      <c r="D489" s="473"/>
      <c r="E489" s="473"/>
      <c r="F489" s="474"/>
      <c r="G489" s="474"/>
      <c r="H489" s="474"/>
      <c r="I489" s="474"/>
      <c r="J489" s="474"/>
      <c r="K489" s="475"/>
      <c r="AA489" s="120" t="s">
        <v>815</v>
      </c>
      <c r="AB489" s="120" t="s">
        <v>478</v>
      </c>
      <c r="AC489" s="397">
        <v>1786</v>
      </c>
      <c r="AD489" s="397">
        <v>72695</v>
      </c>
      <c r="AE489" s="397">
        <v>41</v>
      </c>
      <c r="AF489" s="398">
        <v>0.73209717353063553</v>
      </c>
      <c r="AG489" s="398">
        <v>0.98155052531178621</v>
      </c>
    </row>
    <row r="490" spans="1:33" x14ac:dyDescent="0.45">
      <c r="A490" s="472"/>
      <c r="B490" s="472"/>
      <c r="C490" s="473"/>
      <c r="D490" s="473"/>
      <c r="E490" s="473"/>
      <c r="F490" s="474"/>
      <c r="G490" s="474"/>
      <c r="H490" s="474"/>
      <c r="I490" s="474"/>
      <c r="J490" s="474"/>
      <c r="K490" s="475"/>
      <c r="AA490" s="120" t="s">
        <v>816</v>
      </c>
      <c r="AB490" s="120" t="s">
        <v>486</v>
      </c>
      <c r="AC490" s="397">
        <v>1507</v>
      </c>
      <c r="AD490" s="397">
        <v>55380</v>
      </c>
      <c r="AE490" s="397">
        <v>37</v>
      </c>
      <c r="AF490" s="398">
        <v>0.73830543665882564</v>
      </c>
      <c r="AG490" s="398">
        <v>0.98237960685755532</v>
      </c>
    </row>
    <row r="491" spans="1:33" x14ac:dyDescent="0.45">
      <c r="A491" s="472"/>
      <c r="B491" s="472"/>
      <c r="C491" s="473"/>
      <c r="D491" s="473"/>
      <c r="E491" s="473"/>
      <c r="F491" s="474"/>
      <c r="G491" s="474"/>
      <c r="H491" s="474"/>
      <c r="I491" s="474"/>
      <c r="J491" s="474"/>
      <c r="K491" s="475"/>
      <c r="AA491" s="120" t="s">
        <v>817</v>
      </c>
      <c r="AB491" s="120" t="s">
        <v>499</v>
      </c>
      <c r="AC491" s="397">
        <v>5286</v>
      </c>
      <c r="AD491" s="397">
        <v>151950</v>
      </c>
      <c r="AE491" s="397">
        <v>29</v>
      </c>
      <c r="AF491" s="398">
        <v>0.76008173320535055</v>
      </c>
      <c r="AG491" s="398">
        <v>0.98465441619088168</v>
      </c>
    </row>
    <row r="492" spans="1:33" x14ac:dyDescent="0.45">
      <c r="A492" s="472"/>
      <c r="B492" s="472"/>
      <c r="C492" s="473"/>
      <c r="D492" s="473"/>
      <c r="E492" s="473"/>
      <c r="F492" s="474"/>
      <c r="G492" s="474"/>
      <c r="H492" s="474"/>
      <c r="I492" s="474"/>
      <c r="J492" s="474"/>
      <c r="K492" s="475"/>
      <c r="AA492" s="120" t="s">
        <v>818</v>
      </c>
      <c r="AB492" s="120" t="s">
        <v>478</v>
      </c>
      <c r="AC492" s="397">
        <v>5181</v>
      </c>
      <c r="AD492" s="397">
        <v>132435</v>
      </c>
      <c r="AE492" s="397">
        <v>26</v>
      </c>
      <c r="AF492" s="398">
        <v>0.78142546994533268</v>
      </c>
      <c r="AG492" s="398">
        <v>0.9866370708408263</v>
      </c>
    </row>
    <row r="493" spans="1:33" x14ac:dyDescent="0.45">
      <c r="A493" s="472"/>
      <c r="B493" s="472"/>
      <c r="C493" s="473"/>
      <c r="D493" s="473"/>
      <c r="E493" s="473"/>
      <c r="F493" s="474"/>
      <c r="G493" s="474"/>
      <c r="H493" s="474"/>
      <c r="I493" s="474"/>
      <c r="J493" s="474"/>
      <c r="K493" s="475"/>
      <c r="AA493" s="120" t="s">
        <v>819</v>
      </c>
      <c r="AB493" s="120" t="s">
        <v>486</v>
      </c>
      <c r="AC493" s="397">
        <v>2142</v>
      </c>
      <c r="AD493" s="397">
        <v>53253</v>
      </c>
      <c r="AE493" s="397">
        <v>25</v>
      </c>
      <c r="AF493" s="398">
        <v>0.79024968999880529</v>
      </c>
      <c r="AG493" s="398">
        <v>0.98743430954716149</v>
      </c>
    </row>
    <row r="494" spans="1:33" x14ac:dyDescent="0.45">
      <c r="A494" s="472"/>
      <c r="B494" s="472"/>
      <c r="C494" s="473"/>
      <c r="D494" s="473"/>
      <c r="E494" s="473"/>
      <c r="F494" s="474"/>
      <c r="G494" s="474"/>
      <c r="H494" s="474"/>
      <c r="I494" s="474"/>
      <c r="J494" s="474"/>
      <c r="K494" s="475"/>
      <c r="AA494" s="120" t="s">
        <v>820</v>
      </c>
      <c r="AB494" s="120" t="s">
        <v>499</v>
      </c>
      <c r="AC494" s="397">
        <v>4732</v>
      </c>
      <c r="AD494" s="397">
        <v>115510</v>
      </c>
      <c r="AE494" s="397">
        <v>24</v>
      </c>
      <c r="AF494" s="398">
        <v>0.80974371861366645</v>
      </c>
      <c r="AG494" s="398">
        <v>0.98916358382220271</v>
      </c>
    </row>
    <row r="495" spans="1:33" x14ac:dyDescent="0.45">
      <c r="A495" s="472"/>
      <c r="B495" s="472"/>
      <c r="C495" s="473"/>
      <c r="D495" s="473"/>
      <c r="E495" s="473"/>
      <c r="F495" s="474"/>
      <c r="G495" s="474"/>
      <c r="H495" s="474"/>
      <c r="I495" s="474"/>
      <c r="J495" s="474"/>
      <c r="K495" s="475"/>
      <c r="AA495" s="120" t="s">
        <v>821</v>
      </c>
      <c r="AB495" s="120" t="s">
        <v>499</v>
      </c>
      <c r="AC495" s="397">
        <v>6426</v>
      </c>
      <c r="AD495" s="397">
        <v>148860</v>
      </c>
      <c r="AE495" s="397">
        <v>23</v>
      </c>
      <c r="AF495" s="398">
        <v>0.83621637877408428</v>
      </c>
      <c r="AG495" s="398">
        <v>0.99139213345931343</v>
      </c>
    </row>
    <row r="496" spans="1:33" x14ac:dyDescent="0.45">
      <c r="A496" s="472"/>
      <c r="B496" s="472"/>
      <c r="C496" s="473"/>
      <c r="D496" s="473"/>
      <c r="E496" s="473"/>
      <c r="F496" s="474"/>
      <c r="G496" s="474"/>
      <c r="H496" s="474"/>
      <c r="I496" s="474"/>
      <c r="J496" s="474"/>
      <c r="K496" s="475"/>
      <c r="AA496" s="120" t="s">
        <v>822</v>
      </c>
      <c r="AB496" s="120" t="s">
        <v>499</v>
      </c>
      <c r="AC496" s="397">
        <v>991</v>
      </c>
      <c r="AD496" s="397">
        <v>22270</v>
      </c>
      <c r="AE496" s="397">
        <v>22</v>
      </c>
      <c r="AF496" s="398">
        <v>0.84029891942440704</v>
      </c>
      <c r="AG496" s="398">
        <v>0.99172553262912699</v>
      </c>
    </row>
    <row r="497" spans="1:33" x14ac:dyDescent="0.45">
      <c r="A497" s="472"/>
      <c r="B497" s="472"/>
      <c r="C497" s="473"/>
      <c r="D497" s="473"/>
      <c r="E497" s="473"/>
      <c r="F497" s="474"/>
      <c r="G497" s="474"/>
      <c r="H497" s="474"/>
      <c r="I497" s="474"/>
      <c r="J497" s="474"/>
      <c r="K497" s="475"/>
      <c r="AA497" s="120" t="s">
        <v>823</v>
      </c>
      <c r="AB497" s="120" t="s">
        <v>499</v>
      </c>
      <c r="AC497" s="397">
        <v>1467</v>
      </c>
      <c r="AD497" s="397">
        <v>22920</v>
      </c>
      <c r="AE497" s="397">
        <v>16</v>
      </c>
      <c r="AF497" s="398">
        <v>0.84634239786439047</v>
      </c>
      <c r="AG497" s="398">
        <v>0.99206866280299899</v>
      </c>
    </row>
    <row r="498" spans="1:33" x14ac:dyDescent="0.45">
      <c r="A498" s="472"/>
      <c r="B498" s="472"/>
      <c r="C498" s="473"/>
      <c r="D498" s="473"/>
      <c r="E498" s="473"/>
      <c r="F498" s="474"/>
      <c r="G498" s="474"/>
      <c r="H498" s="474"/>
      <c r="I498" s="474"/>
      <c r="J498" s="474"/>
      <c r="K498" s="475"/>
      <c r="AA498" s="120" t="s">
        <v>824</v>
      </c>
      <c r="AB498" s="120" t="s">
        <v>499</v>
      </c>
      <c r="AC498" s="397">
        <v>6907</v>
      </c>
      <c r="AD498" s="397">
        <v>85870</v>
      </c>
      <c r="AE498" s="397">
        <v>12</v>
      </c>
      <c r="AF498" s="398">
        <v>0.8747965939004948</v>
      </c>
      <c r="AG498" s="398">
        <v>0.99335420329298074</v>
      </c>
    </row>
    <row r="499" spans="1:33" x14ac:dyDescent="0.45">
      <c r="A499" s="472"/>
      <c r="B499" s="472"/>
      <c r="C499" s="473"/>
      <c r="D499" s="473"/>
      <c r="E499" s="473"/>
      <c r="F499" s="474"/>
      <c r="G499" s="474"/>
      <c r="H499" s="474"/>
      <c r="I499" s="474"/>
      <c r="J499" s="474"/>
      <c r="K499" s="475"/>
      <c r="AA499" s="120" t="s">
        <v>825</v>
      </c>
      <c r="AB499" s="120" t="s">
        <v>499</v>
      </c>
      <c r="AC499" s="397">
        <v>25654</v>
      </c>
      <c r="AD499" s="397">
        <v>235830</v>
      </c>
      <c r="AE499" s="397">
        <v>9</v>
      </c>
      <c r="AF499" s="398">
        <v>0.98048125368190786</v>
      </c>
      <c r="AG499" s="398">
        <v>0.996884761273095</v>
      </c>
    </row>
    <row r="500" spans="1:33" x14ac:dyDescent="0.45">
      <c r="A500" s="472"/>
      <c r="B500" s="472"/>
      <c r="C500" s="473"/>
      <c r="D500" s="473"/>
      <c r="E500" s="473"/>
      <c r="F500" s="474"/>
      <c r="G500" s="474"/>
      <c r="H500" s="474"/>
      <c r="I500" s="474"/>
      <c r="J500" s="474"/>
      <c r="K500" s="475"/>
      <c r="AA500" s="120" t="s">
        <v>826</v>
      </c>
      <c r="AB500" s="120" t="s">
        <v>499</v>
      </c>
      <c r="AC500" s="397">
        <v>3056</v>
      </c>
      <c r="AD500" s="397">
        <v>26720</v>
      </c>
      <c r="AE500" s="397">
        <v>9</v>
      </c>
      <c r="AF500" s="398">
        <v>0.99307080386090529</v>
      </c>
      <c r="AG500" s="398">
        <v>0.99728478039376944</v>
      </c>
    </row>
    <row r="501" spans="1:33" x14ac:dyDescent="0.45">
      <c r="A501" s="472"/>
      <c r="B501" s="472"/>
      <c r="C501" s="473"/>
      <c r="D501" s="473"/>
      <c r="E501" s="473"/>
      <c r="F501" s="474"/>
      <c r="G501" s="474"/>
      <c r="H501" s="474"/>
      <c r="I501" s="474"/>
      <c r="J501" s="474"/>
      <c r="K501" s="475"/>
      <c r="AA501" s="120" t="s">
        <v>827</v>
      </c>
      <c r="AB501" s="120" t="s">
        <v>529</v>
      </c>
      <c r="AC501" s="397">
        <v>1682</v>
      </c>
      <c r="AD501" s="397">
        <v>181368</v>
      </c>
      <c r="AE501" s="397"/>
      <c r="AF501" s="398">
        <v>1</v>
      </c>
      <c r="AG501" s="398">
        <v>1</v>
      </c>
    </row>
    <row r="502" spans="1:33" x14ac:dyDescent="0.45">
      <c r="A502" s="472"/>
      <c r="B502" s="472"/>
      <c r="C502" s="473"/>
      <c r="D502" s="473"/>
      <c r="E502" s="473"/>
      <c r="F502" s="474"/>
      <c r="G502" s="474"/>
      <c r="H502" s="474"/>
      <c r="I502" s="474"/>
      <c r="J502" s="474"/>
      <c r="K502" s="475"/>
      <c r="AC502" s="397"/>
      <c r="AD502" s="397"/>
      <c r="AE502" s="397"/>
      <c r="AF502" s="397"/>
      <c r="AG502" s="397"/>
    </row>
    <row r="503" spans="1:33" x14ac:dyDescent="0.45">
      <c r="A503" s="472"/>
      <c r="B503" s="472"/>
      <c r="C503" s="473"/>
      <c r="D503" s="473"/>
      <c r="E503" s="473"/>
      <c r="F503" s="474"/>
      <c r="G503" s="474"/>
      <c r="H503" s="474"/>
      <c r="I503" s="474"/>
      <c r="J503" s="474"/>
      <c r="K503" s="475"/>
      <c r="AA503" s="120" t="s">
        <v>828</v>
      </c>
      <c r="AC503" s="478">
        <v>242741</v>
      </c>
      <c r="AD503" s="478">
        <v>66796807</v>
      </c>
      <c r="AE503" s="478"/>
      <c r="AF503" s="478"/>
      <c r="AG503" s="478"/>
    </row>
    <row r="504" spans="1:33" x14ac:dyDescent="0.45">
      <c r="A504" s="472"/>
      <c r="B504" s="472"/>
      <c r="C504" s="473"/>
      <c r="D504" s="473"/>
      <c r="E504" s="473"/>
      <c r="F504" s="474"/>
      <c r="G504" s="474"/>
      <c r="H504" s="474"/>
      <c r="I504" s="474"/>
      <c r="J504" s="474"/>
      <c r="K504" s="475"/>
    </row>
    <row r="505" spans="1:33" x14ac:dyDescent="0.45">
      <c r="A505" s="472"/>
      <c r="B505" s="472"/>
      <c r="C505" s="473"/>
      <c r="D505" s="473"/>
      <c r="E505" s="473"/>
      <c r="F505" s="474"/>
      <c r="G505" s="474"/>
      <c r="H505" s="474"/>
      <c r="I505" s="474"/>
      <c r="J505" s="474"/>
      <c r="K505" s="475"/>
    </row>
    <row r="506" spans="1:33" x14ac:dyDescent="0.45">
      <c r="A506" s="472"/>
      <c r="B506" s="472"/>
      <c r="C506" s="473"/>
      <c r="D506" s="473"/>
      <c r="E506" s="473"/>
      <c r="F506" s="474"/>
      <c r="G506" s="474"/>
      <c r="H506" s="474"/>
      <c r="I506" s="474"/>
      <c r="J506" s="474"/>
      <c r="K506" s="475"/>
    </row>
    <row r="507" spans="1:33" x14ac:dyDescent="0.45">
      <c r="A507" s="472"/>
      <c r="B507" s="472"/>
      <c r="C507" s="473"/>
      <c r="D507" s="473"/>
      <c r="E507" s="473"/>
      <c r="F507" s="474"/>
      <c r="G507" s="474"/>
      <c r="H507" s="474"/>
      <c r="I507" s="474"/>
      <c r="J507" s="474"/>
      <c r="K507" s="475"/>
    </row>
    <row r="508" spans="1:33" x14ac:dyDescent="0.45">
      <c r="A508" s="472"/>
      <c r="B508" s="472"/>
      <c r="C508" s="473"/>
      <c r="D508" s="473"/>
      <c r="E508" s="473"/>
      <c r="F508" s="474"/>
      <c r="G508" s="474"/>
      <c r="H508" s="474"/>
      <c r="I508" s="474"/>
      <c r="J508" s="474"/>
      <c r="K508" s="475"/>
    </row>
    <row r="509" spans="1:33" x14ac:dyDescent="0.45">
      <c r="A509" s="472"/>
      <c r="B509" s="472"/>
      <c r="C509" s="473"/>
      <c r="D509" s="473"/>
      <c r="E509" s="473"/>
      <c r="F509" s="474"/>
      <c r="G509" s="474"/>
      <c r="H509" s="474"/>
      <c r="I509" s="474"/>
      <c r="J509" s="474"/>
      <c r="K509" s="475"/>
    </row>
    <row r="510" spans="1:33" x14ac:dyDescent="0.45">
      <c r="A510" s="472"/>
      <c r="B510" s="472"/>
      <c r="C510" s="473"/>
      <c r="D510" s="473"/>
      <c r="E510" s="473"/>
      <c r="F510" s="474"/>
      <c r="G510" s="474"/>
      <c r="H510" s="474"/>
      <c r="I510" s="474"/>
      <c r="J510" s="474"/>
      <c r="K510" s="475"/>
    </row>
    <row r="511" spans="1:33" x14ac:dyDescent="0.45">
      <c r="A511" s="472"/>
      <c r="B511" s="472"/>
      <c r="C511" s="473"/>
      <c r="D511" s="473"/>
      <c r="E511" s="473"/>
      <c r="F511" s="474"/>
      <c r="G511" s="474"/>
      <c r="H511" s="474"/>
      <c r="I511" s="474"/>
      <c r="J511" s="474"/>
      <c r="K511" s="475"/>
    </row>
    <row r="512" spans="1:33" x14ac:dyDescent="0.45">
      <c r="A512" s="472"/>
      <c r="B512" s="472"/>
      <c r="C512" s="473"/>
      <c r="D512" s="473"/>
      <c r="E512" s="473"/>
      <c r="F512" s="474"/>
      <c r="G512" s="474"/>
      <c r="H512" s="474"/>
      <c r="I512" s="474"/>
      <c r="J512" s="474"/>
      <c r="K512" s="475"/>
    </row>
    <row r="513" spans="1:11" x14ac:dyDescent="0.45">
      <c r="A513" s="472"/>
      <c r="B513" s="472"/>
      <c r="C513" s="473"/>
      <c r="D513" s="473"/>
      <c r="E513" s="473"/>
      <c r="F513" s="474"/>
      <c r="G513" s="474"/>
      <c r="H513" s="474"/>
      <c r="I513" s="474"/>
      <c r="J513" s="474"/>
      <c r="K513" s="475"/>
    </row>
    <row r="514" spans="1:11" x14ac:dyDescent="0.45">
      <c r="A514" s="472"/>
      <c r="B514" s="472"/>
      <c r="C514" s="473"/>
      <c r="D514" s="473"/>
      <c r="E514" s="473"/>
      <c r="F514" s="474"/>
      <c r="G514" s="474"/>
      <c r="H514" s="474"/>
      <c r="I514" s="474"/>
      <c r="J514" s="474"/>
      <c r="K514" s="475"/>
    </row>
    <row r="515" spans="1:11" x14ac:dyDescent="0.45">
      <c r="A515" s="472"/>
      <c r="B515" s="472"/>
      <c r="C515" s="473"/>
      <c r="D515" s="473"/>
      <c r="E515" s="473"/>
      <c r="F515" s="474"/>
      <c r="G515" s="474"/>
      <c r="H515" s="474"/>
      <c r="I515" s="474"/>
      <c r="J515" s="474"/>
      <c r="K515" s="475"/>
    </row>
    <row r="516" spans="1:11" x14ac:dyDescent="0.45">
      <c r="A516" s="472"/>
      <c r="B516" s="472"/>
      <c r="C516" s="473"/>
      <c r="D516" s="473"/>
      <c r="E516" s="473"/>
      <c r="F516" s="474"/>
      <c r="G516" s="474"/>
      <c r="H516" s="474"/>
      <c r="I516" s="474"/>
      <c r="J516" s="474"/>
      <c r="K516" s="475"/>
    </row>
    <row r="517" spans="1:11" x14ac:dyDescent="0.45">
      <c r="A517" s="472"/>
      <c r="B517" s="472"/>
      <c r="C517" s="473"/>
      <c r="D517" s="473"/>
      <c r="E517" s="473"/>
      <c r="F517" s="474"/>
      <c r="G517" s="474"/>
      <c r="H517" s="474"/>
      <c r="I517" s="474"/>
      <c r="J517" s="474"/>
      <c r="K517" s="475"/>
    </row>
    <row r="518" spans="1:11" x14ac:dyDescent="0.45">
      <c r="A518" s="472"/>
      <c r="B518" s="472"/>
      <c r="C518" s="473"/>
      <c r="D518" s="473"/>
      <c r="E518" s="473"/>
      <c r="F518" s="474"/>
      <c r="G518" s="474"/>
      <c r="H518" s="474"/>
      <c r="I518" s="474"/>
      <c r="J518" s="474"/>
      <c r="K518" s="475"/>
    </row>
    <row r="519" spans="1:11" x14ac:dyDescent="0.45">
      <c r="A519" s="472"/>
      <c r="B519" s="472"/>
      <c r="C519" s="473"/>
      <c r="D519" s="473"/>
      <c r="E519" s="473"/>
      <c r="F519" s="474"/>
      <c r="G519" s="474"/>
      <c r="H519" s="474"/>
      <c r="I519" s="474"/>
      <c r="J519" s="474"/>
      <c r="K519" s="475"/>
    </row>
    <row r="520" spans="1:11" x14ac:dyDescent="0.45">
      <c r="A520" s="472"/>
      <c r="B520" s="472"/>
      <c r="C520" s="473"/>
      <c r="D520" s="473"/>
      <c r="E520" s="473"/>
      <c r="F520" s="474"/>
      <c r="G520" s="474"/>
      <c r="H520" s="474"/>
      <c r="I520" s="474"/>
      <c r="J520" s="474"/>
      <c r="K520" s="475"/>
    </row>
    <row r="521" spans="1:11" x14ac:dyDescent="0.45">
      <c r="A521" s="472"/>
      <c r="B521" s="472"/>
      <c r="C521" s="473"/>
      <c r="D521" s="473"/>
      <c r="E521" s="473"/>
      <c r="F521" s="474"/>
      <c r="G521" s="474"/>
      <c r="H521" s="474"/>
      <c r="I521" s="474"/>
      <c r="J521" s="474"/>
      <c r="K521" s="475"/>
    </row>
    <row r="522" spans="1:11" x14ac:dyDescent="0.45">
      <c r="A522" s="472"/>
      <c r="B522" s="472"/>
      <c r="C522" s="473"/>
      <c r="D522" s="473"/>
      <c r="E522" s="473"/>
      <c r="F522" s="474"/>
      <c r="G522" s="474"/>
      <c r="H522" s="474"/>
      <c r="I522" s="474"/>
      <c r="J522" s="474"/>
      <c r="K522" s="475"/>
    </row>
    <row r="523" spans="1:11" x14ac:dyDescent="0.45">
      <c r="A523" s="472"/>
      <c r="B523" s="472"/>
      <c r="C523" s="473"/>
      <c r="D523" s="473"/>
      <c r="E523" s="473"/>
      <c r="F523" s="474"/>
      <c r="G523" s="474"/>
      <c r="H523" s="474"/>
      <c r="I523" s="474"/>
      <c r="J523" s="474"/>
      <c r="K523" s="475"/>
    </row>
    <row r="524" spans="1:11" x14ac:dyDescent="0.45">
      <c r="A524" s="472"/>
      <c r="B524" s="472"/>
      <c r="C524" s="473"/>
      <c r="D524" s="473"/>
      <c r="E524" s="473"/>
      <c r="F524" s="474"/>
      <c r="G524" s="474"/>
      <c r="H524" s="474"/>
      <c r="I524" s="474"/>
      <c r="J524" s="474"/>
      <c r="K524" s="475"/>
    </row>
    <row r="525" spans="1:11" x14ac:dyDescent="0.45">
      <c r="A525" s="472"/>
      <c r="B525" s="472"/>
      <c r="C525" s="473"/>
      <c r="D525" s="473"/>
      <c r="E525" s="473"/>
      <c r="F525" s="474"/>
      <c r="G525" s="474"/>
      <c r="H525" s="474"/>
      <c r="I525" s="474"/>
      <c r="J525" s="474"/>
      <c r="K525" s="475"/>
    </row>
    <row r="526" spans="1:11" x14ac:dyDescent="0.45">
      <c r="A526" s="472"/>
      <c r="B526" s="472"/>
      <c r="C526" s="473"/>
      <c r="D526" s="473"/>
      <c r="E526" s="473"/>
      <c r="F526" s="474"/>
      <c r="G526" s="474"/>
      <c r="H526" s="474"/>
      <c r="I526" s="474"/>
      <c r="J526" s="474"/>
      <c r="K526" s="475"/>
    </row>
    <row r="527" spans="1:11" x14ac:dyDescent="0.45">
      <c r="A527" s="472"/>
      <c r="B527" s="472"/>
      <c r="C527" s="473"/>
      <c r="D527" s="473"/>
      <c r="E527" s="473"/>
      <c r="F527" s="474"/>
      <c r="G527" s="474"/>
      <c r="H527" s="474"/>
      <c r="I527" s="474"/>
      <c r="J527" s="474"/>
      <c r="K527" s="475"/>
    </row>
    <row r="528" spans="1:11" x14ac:dyDescent="0.45">
      <c r="A528" s="472"/>
      <c r="B528" s="472"/>
      <c r="C528" s="473"/>
      <c r="D528" s="473"/>
      <c r="E528" s="473"/>
      <c r="F528" s="474"/>
      <c r="G528" s="474"/>
      <c r="H528" s="474"/>
      <c r="I528" s="474"/>
      <c r="J528" s="474"/>
      <c r="K528" s="475"/>
    </row>
    <row r="529" spans="1:11" x14ac:dyDescent="0.45">
      <c r="A529" s="472"/>
      <c r="B529" s="472"/>
      <c r="C529" s="473"/>
      <c r="D529" s="473"/>
      <c r="E529" s="473"/>
      <c r="F529" s="474"/>
      <c r="G529" s="474"/>
      <c r="H529" s="474"/>
      <c r="I529" s="474"/>
      <c r="J529" s="474"/>
      <c r="K529" s="475"/>
    </row>
    <row r="530" spans="1:11" x14ac:dyDescent="0.45">
      <c r="A530" s="472"/>
      <c r="B530" s="472"/>
      <c r="C530" s="473"/>
      <c r="D530" s="473"/>
      <c r="E530" s="473"/>
      <c r="F530" s="474"/>
      <c r="G530" s="474"/>
      <c r="H530" s="474"/>
      <c r="I530" s="474"/>
      <c r="J530" s="474"/>
      <c r="K530" s="475"/>
    </row>
    <row r="531" spans="1:11" x14ac:dyDescent="0.45">
      <c r="A531" s="472"/>
      <c r="B531" s="472"/>
      <c r="C531" s="473"/>
      <c r="D531" s="473"/>
      <c r="E531" s="473"/>
      <c r="F531" s="474"/>
      <c r="G531" s="474"/>
      <c r="H531" s="474"/>
      <c r="I531" s="474"/>
      <c r="J531" s="474"/>
      <c r="K531" s="475"/>
    </row>
    <row r="532" spans="1:11" x14ac:dyDescent="0.45">
      <c r="A532" s="472"/>
      <c r="B532" s="472"/>
      <c r="C532" s="473"/>
      <c r="D532" s="473"/>
      <c r="E532" s="473"/>
      <c r="F532" s="474"/>
      <c r="G532" s="474"/>
      <c r="H532" s="474"/>
      <c r="I532" s="474"/>
      <c r="J532" s="474"/>
      <c r="K532" s="475"/>
    </row>
    <row r="533" spans="1:11" x14ac:dyDescent="0.45">
      <c r="A533" s="472"/>
      <c r="B533" s="472"/>
      <c r="C533" s="473"/>
      <c r="D533" s="473"/>
      <c r="E533" s="473"/>
      <c r="F533" s="474"/>
      <c r="G533" s="474"/>
      <c r="H533" s="474"/>
      <c r="I533" s="474"/>
      <c r="J533" s="474"/>
      <c r="K533" s="475"/>
    </row>
    <row r="534" spans="1:11" x14ac:dyDescent="0.45">
      <c r="A534" s="472"/>
      <c r="B534" s="472"/>
      <c r="C534" s="473"/>
      <c r="D534" s="473"/>
      <c r="E534" s="473"/>
      <c r="F534" s="474"/>
      <c r="G534" s="474"/>
      <c r="H534" s="474"/>
      <c r="I534" s="474"/>
      <c r="J534" s="474"/>
      <c r="K534" s="475"/>
    </row>
    <row r="535" spans="1:11" x14ac:dyDescent="0.45">
      <c r="A535" s="472"/>
      <c r="B535" s="472"/>
      <c r="C535" s="473"/>
      <c r="D535" s="473"/>
      <c r="E535" s="473"/>
      <c r="F535" s="474"/>
      <c r="G535" s="474"/>
      <c r="H535" s="474"/>
      <c r="I535" s="474"/>
      <c r="J535" s="474"/>
      <c r="K535" s="475"/>
    </row>
    <row r="536" spans="1:11" x14ac:dyDescent="0.45">
      <c r="A536" s="472"/>
      <c r="B536" s="472"/>
      <c r="C536" s="473"/>
      <c r="D536" s="473"/>
      <c r="E536" s="473"/>
      <c r="F536" s="474"/>
      <c r="G536" s="474"/>
      <c r="H536" s="474"/>
      <c r="I536" s="474"/>
      <c r="J536" s="474"/>
      <c r="K536" s="475"/>
    </row>
    <row r="537" spans="1:11" x14ac:dyDescent="0.45">
      <c r="A537" s="472"/>
      <c r="B537" s="472"/>
      <c r="C537" s="473"/>
      <c r="D537" s="473"/>
      <c r="E537" s="473"/>
      <c r="F537" s="474"/>
      <c r="G537" s="474"/>
      <c r="H537" s="474"/>
      <c r="I537" s="474"/>
      <c r="J537" s="474"/>
      <c r="K537" s="475"/>
    </row>
    <row r="538" spans="1:11" x14ac:dyDescent="0.45">
      <c r="A538" s="472"/>
      <c r="B538" s="472"/>
      <c r="C538" s="473"/>
      <c r="D538" s="473"/>
      <c r="E538" s="473"/>
      <c r="F538" s="474"/>
      <c r="G538" s="474"/>
      <c r="H538" s="474"/>
      <c r="I538" s="474"/>
      <c r="J538" s="474"/>
      <c r="K538" s="475"/>
    </row>
    <row r="539" spans="1:11" x14ac:dyDescent="0.45">
      <c r="A539" s="472"/>
      <c r="B539" s="472"/>
      <c r="C539" s="473"/>
      <c r="D539" s="473"/>
      <c r="E539" s="473"/>
      <c r="F539" s="474"/>
      <c r="G539" s="474"/>
      <c r="H539" s="474"/>
      <c r="I539" s="474"/>
      <c r="J539" s="474"/>
      <c r="K539" s="475"/>
    </row>
    <row r="540" spans="1:11" x14ac:dyDescent="0.45">
      <c r="A540" s="472"/>
      <c r="B540" s="472"/>
      <c r="C540" s="473"/>
      <c r="D540" s="473"/>
      <c r="E540" s="473"/>
      <c r="F540" s="474"/>
      <c r="G540" s="474"/>
      <c r="H540" s="474"/>
      <c r="I540" s="474"/>
      <c r="J540" s="474"/>
      <c r="K540" s="475"/>
    </row>
    <row r="541" spans="1:11" x14ac:dyDescent="0.45">
      <c r="A541" s="472"/>
      <c r="B541" s="472"/>
      <c r="C541" s="473"/>
      <c r="D541" s="473"/>
      <c r="E541" s="473"/>
      <c r="F541" s="474"/>
      <c r="G541" s="474"/>
      <c r="H541" s="474"/>
      <c r="I541" s="474"/>
      <c r="J541" s="474"/>
      <c r="K541" s="475"/>
    </row>
    <row r="542" spans="1:11" x14ac:dyDescent="0.45">
      <c r="A542" s="472"/>
      <c r="B542" s="472"/>
      <c r="C542" s="473"/>
      <c r="D542" s="473"/>
      <c r="E542" s="473"/>
      <c r="F542" s="474"/>
      <c r="G542" s="474"/>
      <c r="H542" s="474"/>
      <c r="I542" s="474"/>
      <c r="J542" s="474"/>
      <c r="K542" s="475"/>
    </row>
    <row r="543" spans="1:11" x14ac:dyDescent="0.45">
      <c r="A543" s="472"/>
      <c r="B543" s="472"/>
      <c r="C543" s="473"/>
      <c r="D543" s="473"/>
      <c r="E543" s="473"/>
      <c r="F543" s="474"/>
      <c r="G543" s="474"/>
      <c r="H543" s="474"/>
      <c r="I543" s="474"/>
      <c r="J543" s="474"/>
      <c r="K543" s="475"/>
    </row>
    <row r="544" spans="1:11" x14ac:dyDescent="0.45">
      <c r="A544" s="472"/>
      <c r="B544" s="472"/>
      <c r="C544" s="473"/>
      <c r="D544" s="473"/>
      <c r="E544" s="473"/>
      <c r="F544" s="474"/>
      <c r="G544" s="474"/>
      <c r="H544" s="474"/>
      <c r="I544" s="474"/>
      <c r="J544" s="474"/>
      <c r="K544" s="475"/>
    </row>
    <row r="545" spans="1:11" x14ac:dyDescent="0.45">
      <c r="A545" s="472"/>
      <c r="B545" s="472"/>
      <c r="C545" s="473"/>
      <c r="D545" s="473"/>
      <c r="E545" s="473"/>
      <c r="F545" s="474"/>
      <c r="G545" s="474"/>
      <c r="H545" s="474"/>
      <c r="I545" s="474"/>
      <c r="J545" s="474"/>
      <c r="K545" s="475"/>
    </row>
    <row r="546" spans="1:11" x14ac:dyDescent="0.45">
      <c r="A546" s="472"/>
      <c r="B546" s="472"/>
      <c r="C546" s="473"/>
      <c r="D546" s="473"/>
      <c r="E546" s="473"/>
      <c r="F546" s="474"/>
      <c r="G546" s="474"/>
      <c r="H546" s="474"/>
      <c r="I546" s="474"/>
      <c r="J546" s="474"/>
      <c r="K546" s="475"/>
    </row>
    <row r="547" spans="1:11" x14ac:dyDescent="0.45">
      <c r="A547" s="472"/>
      <c r="B547" s="472"/>
      <c r="C547" s="473"/>
      <c r="D547" s="473"/>
      <c r="E547" s="473"/>
      <c r="F547" s="474"/>
      <c r="G547" s="474"/>
      <c r="H547" s="474"/>
      <c r="I547" s="474"/>
      <c r="J547" s="474"/>
      <c r="K547" s="475"/>
    </row>
    <row r="548" spans="1:11" x14ac:dyDescent="0.45">
      <c r="A548" s="472"/>
      <c r="B548" s="472"/>
      <c r="C548" s="473"/>
      <c r="D548" s="473"/>
      <c r="E548" s="473"/>
      <c r="F548" s="474"/>
      <c r="G548" s="474"/>
      <c r="H548" s="474"/>
      <c r="I548" s="474"/>
      <c r="J548" s="474"/>
      <c r="K548" s="475"/>
    </row>
    <row r="549" spans="1:11" x14ac:dyDescent="0.45">
      <c r="A549" s="472"/>
      <c r="B549" s="472"/>
      <c r="C549" s="473"/>
      <c r="D549" s="473"/>
      <c r="E549" s="473"/>
      <c r="F549" s="474"/>
      <c r="G549" s="474"/>
      <c r="H549" s="474"/>
      <c r="I549" s="474"/>
      <c r="J549" s="474"/>
      <c r="K549" s="475"/>
    </row>
    <row r="550" spans="1:11" x14ac:dyDescent="0.45">
      <c r="A550" s="472"/>
      <c r="B550" s="472"/>
      <c r="C550" s="473"/>
      <c r="D550" s="473"/>
      <c r="E550" s="473"/>
      <c r="F550" s="474"/>
      <c r="G550" s="474"/>
      <c r="H550" s="474"/>
      <c r="I550" s="474"/>
      <c r="J550" s="474"/>
      <c r="K550" s="475"/>
    </row>
    <row r="551" spans="1:11" x14ac:dyDescent="0.45">
      <c r="A551" s="472"/>
      <c r="B551" s="472"/>
      <c r="C551" s="473"/>
      <c r="D551" s="473"/>
      <c r="E551" s="473"/>
      <c r="F551" s="474"/>
      <c r="G551" s="474"/>
      <c r="H551" s="474"/>
      <c r="I551" s="474"/>
      <c r="J551" s="474"/>
      <c r="K551" s="475"/>
    </row>
    <row r="552" spans="1:11" x14ac:dyDescent="0.45">
      <c r="A552" s="472"/>
      <c r="B552" s="472"/>
      <c r="C552" s="473"/>
      <c r="D552" s="473"/>
      <c r="E552" s="473"/>
      <c r="F552" s="474"/>
      <c r="G552" s="474"/>
      <c r="H552" s="474"/>
      <c r="I552" s="474"/>
      <c r="J552" s="474"/>
      <c r="K552" s="475"/>
    </row>
    <row r="553" spans="1:11" x14ac:dyDescent="0.45">
      <c r="A553" s="472"/>
      <c r="B553" s="472"/>
      <c r="C553" s="473"/>
      <c r="D553" s="473"/>
      <c r="E553" s="473"/>
      <c r="F553" s="474"/>
      <c r="G553" s="474"/>
      <c r="H553" s="474"/>
      <c r="I553" s="474"/>
      <c r="J553" s="474"/>
      <c r="K553" s="475"/>
    </row>
    <row r="554" spans="1:11" x14ac:dyDescent="0.45">
      <c r="A554" s="472"/>
      <c r="B554" s="472"/>
      <c r="C554" s="473"/>
      <c r="D554" s="473"/>
      <c r="E554" s="473"/>
      <c r="F554" s="474"/>
      <c r="G554" s="474"/>
      <c r="H554" s="474"/>
      <c r="I554" s="474"/>
      <c r="J554" s="474"/>
      <c r="K554" s="475"/>
    </row>
    <row r="555" spans="1:11" x14ac:dyDescent="0.45">
      <c r="A555" s="472"/>
      <c r="B555" s="472"/>
      <c r="C555" s="473"/>
      <c r="D555" s="473"/>
      <c r="E555" s="473"/>
      <c r="F555" s="474"/>
      <c r="G555" s="474"/>
      <c r="H555" s="474"/>
      <c r="I555" s="474"/>
      <c r="J555" s="474"/>
      <c r="K555" s="475"/>
    </row>
    <row r="556" spans="1:11" x14ac:dyDescent="0.45">
      <c r="A556" s="472"/>
      <c r="B556" s="472"/>
      <c r="C556" s="473"/>
      <c r="D556" s="473"/>
      <c r="E556" s="473"/>
      <c r="F556" s="474"/>
      <c r="G556" s="474"/>
      <c r="H556" s="474"/>
      <c r="I556" s="474"/>
      <c r="J556" s="474"/>
      <c r="K556" s="475"/>
    </row>
    <row r="557" spans="1:11" x14ac:dyDescent="0.45">
      <c r="A557" s="472"/>
      <c r="B557" s="472"/>
      <c r="C557" s="473"/>
      <c r="D557" s="473"/>
      <c r="E557" s="473"/>
      <c r="F557" s="474"/>
      <c r="G557" s="474"/>
      <c r="H557" s="474"/>
      <c r="I557" s="474"/>
      <c r="J557" s="474"/>
      <c r="K557" s="475"/>
    </row>
    <row r="558" spans="1:11" x14ac:dyDescent="0.45">
      <c r="A558" s="472"/>
      <c r="B558" s="472"/>
      <c r="C558" s="473"/>
      <c r="D558" s="473"/>
      <c r="E558" s="473"/>
      <c r="F558" s="474"/>
      <c r="G558" s="474"/>
      <c r="H558" s="474"/>
      <c r="I558" s="474"/>
      <c r="J558" s="474"/>
      <c r="K558" s="475"/>
    </row>
    <row r="559" spans="1:11" x14ac:dyDescent="0.45">
      <c r="A559" s="472"/>
      <c r="B559" s="472"/>
      <c r="C559" s="473"/>
      <c r="D559" s="473"/>
      <c r="E559" s="473"/>
      <c r="F559" s="474"/>
      <c r="G559" s="474"/>
      <c r="H559" s="474"/>
      <c r="I559" s="474"/>
      <c r="J559" s="474"/>
      <c r="K559" s="475"/>
    </row>
    <row r="560" spans="1:11" x14ac:dyDescent="0.45">
      <c r="A560" s="472"/>
      <c r="B560" s="472"/>
      <c r="C560" s="473"/>
      <c r="D560" s="473"/>
      <c r="E560" s="473"/>
      <c r="F560" s="474"/>
      <c r="G560" s="474"/>
      <c r="H560" s="474"/>
      <c r="I560" s="474"/>
      <c r="J560" s="474"/>
      <c r="K560" s="475"/>
    </row>
    <row r="561" spans="1:11" x14ac:dyDescent="0.45">
      <c r="A561" s="472"/>
      <c r="B561" s="472"/>
      <c r="C561" s="473"/>
      <c r="D561" s="473"/>
      <c r="E561" s="473"/>
      <c r="F561" s="474"/>
      <c r="G561" s="474"/>
      <c r="H561" s="474"/>
      <c r="I561" s="474"/>
      <c r="J561" s="474"/>
      <c r="K561" s="475"/>
    </row>
    <row r="562" spans="1:11" x14ac:dyDescent="0.45">
      <c r="A562" s="472"/>
      <c r="B562" s="472"/>
      <c r="C562" s="473"/>
      <c r="D562" s="473"/>
      <c r="E562" s="473"/>
      <c r="F562" s="474"/>
      <c r="G562" s="474"/>
      <c r="H562" s="474"/>
      <c r="I562" s="474"/>
      <c r="J562" s="474"/>
      <c r="K562" s="475"/>
    </row>
    <row r="563" spans="1:11" x14ac:dyDescent="0.45">
      <c r="A563" s="472"/>
      <c r="B563" s="472"/>
      <c r="C563" s="473"/>
      <c r="D563" s="473"/>
      <c r="E563" s="473"/>
      <c r="F563" s="474"/>
      <c r="G563" s="474"/>
      <c r="H563" s="474"/>
      <c r="I563" s="474"/>
      <c r="J563" s="474"/>
      <c r="K563" s="475"/>
    </row>
    <row r="564" spans="1:11" x14ac:dyDescent="0.45">
      <c r="A564" s="472"/>
      <c r="B564" s="472"/>
      <c r="C564" s="473"/>
      <c r="D564" s="473"/>
      <c r="E564" s="473"/>
      <c r="F564" s="474"/>
      <c r="G564" s="474"/>
      <c r="H564" s="474"/>
      <c r="I564" s="474"/>
      <c r="J564" s="474"/>
      <c r="K564" s="475"/>
    </row>
    <row r="565" spans="1:11" x14ac:dyDescent="0.45">
      <c r="A565" s="472"/>
      <c r="B565" s="472"/>
      <c r="C565" s="473"/>
      <c r="D565" s="473"/>
      <c r="E565" s="473"/>
      <c r="F565" s="474"/>
      <c r="G565" s="474"/>
      <c r="H565" s="474"/>
      <c r="I565" s="474"/>
      <c r="J565" s="474"/>
      <c r="K565" s="475"/>
    </row>
    <row r="566" spans="1:11" x14ac:dyDescent="0.45">
      <c r="A566" s="472"/>
      <c r="B566" s="472"/>
      <c r="C566" s="473"/>
      <c r="D566" s="473"/>
      <c r="E566" s="473"/>
      <c r="F566" s="474"/>
      <c r="G566" s="474"/>
      <c r="H566" s="474"/>
      <c r="I566" s="474"/>
      <c r="J566" s="474"/>
      <c r="K566" s="475"/>
    </row>
    <row r="567" spans="1:11" x14ac:dyDescent="0.45">
      <c r="A567" s="472"/>
      <c r="B567" s="472"/>
      <c r="C567" s="473"/>
      <c r="D567" s="473"/>
      <c r="E567" s="473"/>
      <c r="F567" s="474"/>
      <c r="G567" s="474"/>
      <c r="H567" s="474"/>
      <c r="I567" s="474"/>
      <c r="J567" s="474"/>
      <c r="K567" s="475"/>
    </row>
    <row r="568" spans="1:11" x14ac:dyDescent="0.45">
      <c r="A568" s="472"/>
      <c r="B568" s="472"/>
      <c r="C568" s="473"/>
      <c r="D568" s="473"/>
      <c r="E568" s="473"/>
      <c r="F568" s="474"/>
      <c r="G568" s="474"/>
      <c r="H568" s="474"/>
      <c r="I568" s="474"/>
      <c r="J568" s="474"/>
      <c r="K568" s="475"/>
    </row>
    <row r="569" spans="1:11" x14ac:dyDescent="0.45">
      <c r="A569" s="472"/>
      <c r="B569" s="472"/>
      <c r="C569" s="473"/>
      <c r="D569" s="473"/>
      <c r="E569" s="473"/>
      <c r="F569" s="474"/>
      <c r="G569" s="474"/>
      <c r="H569" s="474"/>
      <c r="I569" s="474"/>
      <c r="J569" s="474"/>
      <c r="K569" s="475"/>
    </row>
    <row r="570" spans="1:11" x14ac:dyDescent="0.45">
      <c r="A570" s="472"/>
      <c r="B570" s="472"/>
      <c r="C570" s="473"/>
      <c r="D570" s="473"/>
      <c r="E570" s="473"/>
      <c r="F570" s="474"/>
      <c r="G570" s="474"/>
      <c r="H570" s="474"/>
      <c r="I570" s="474"/>
      <c r="J570" s="474"/>
      <c r="K570" s="475"/>
    </row>
    <row r="571" spans="1:11" x14ac:dyDescent="0.45">
      <c r="A571" s="472"/>
      <c r="B571" s="472"/>
      <c r="C571" s="473"/>
      <c r="D571" s="473"/>
      <c r="E571" s="473"/>
      <c r="F571" s="474"/>
      <c r="G571" s="474"/>
      <c r="H571" s="474"/>
      <c r="I571" s="474"/>
      <c r="J571" s="474"/>
      <c r="K571" s="475"/>
    </row>
    <row r="572" spans="1:11" x14ac:dyDescent="0.45">
      <c r="A572" s="472"/>
      <c r="B572" s="472"/>
      <c r="C572" s="473"/>
      <c r="D572" s="473"/>
      <c r="E572" s="473"/>
      <c r="F572" s="474"/>
      <c r="G572" s="474"/>
      <c r="H572" s="474"/>
      <c r="I572" s="474"/>
      <c r="J572" s="474"/>
      <c r="K572" s="475"/>
    </row>
    <row r="573" spans="1:11" x14ac:dyDescent="0.45">
      <c r="A573" s="472"/>
      <c r="B573" s="472"/>
      <c r="C573" s="473"/>
      <c r="D573" s="473"/>
      <c r="E573" s="473"/>
      <c r="F573" s="474"/>
      <c r="G573" s="474"/>
      <c r="H573" s="474"/>
      <c r="I573" s="474"/>
      <c r="J573" s="474"/>
      <c r="K573" s="475"/>
    </row>
    <row r="574" spans="1:11" x14ac:dyDescent="0.45">
      <c r="A574" s="472"/>
      <c r="B574" s="472"/>
      <c r="C574" s="473"/>
      <c r="D574" s="473"/>
      <c r="E574" s="473"/>
      <c r="F574" s="474"/>
      <c r="G574" s="474"/>
      <c r="H574" s="474"/>
      <c r="I574" s="474"/>
      <c r="J574" s="474"/>
      <c r="K574" s="475"/>
    </row>
    <row r="575" spans="1:11" x14ac:dyDescent="0.45">
      <c r="A575" s="472"/>
      <c r="B575" s="472"/>
      <c r="C575" s="473"/>
      <c r="D575" s="473"/>
      <c r="E575" s="473"/>
      <c r="F575" s="474"/>
      <c r="G575" s="474"/>
      <c r="H575" s="474"/>
      <c r="I575" s="474"/>
      <c r="J575" s="474"/>
      <c r="K575" s="475"/>
    </row>
    <row r="576" spans="1:11" x14ac:dyDescent="0.45">
      <c r="A576" s="472"/>
      <c r="B576" s="472"/>
      <c r="C576" s="473"/>
      <c r="D576" s="473"/>
      <c r="E576" s="473"/>
      <c r="F576" s="474"/>
      <c r="G576" s="474"/>
      <c r="H576" s="474"/>
      <c r="I576" s="474"/>
      <c r="J576" s="474"/>
      <c r="K576" s="475"/>
    </row>
    <row r="577" spans="1:11" x14ac:dyDescent="0.45">
      <c r="A577" s="472"/>
      <c r="B577" s="472"/>
      <c r="C577" s="473"/>
      <c r="D577" s="473"/>
      <c r="E577" s="473"/>
      <c r="F577" s="474"/>
      <c r="G577" s="474"/>
      <c r="H577" s="474"/>
      <c r="I577" s="474"/>
      <c r="J577" s="474"/>
      <c r="K577" s="475"/>
    </row>
    <row r="578" spans="1:11" x14ac:dyDescent="0.45">
      <c r="A578" s="472"/>
      <c r="B578" s="472"/>
      <c r="C578" s="473"/>
      <c r="D578" s="473"/>
      <c r="E578" s="473"/>
      <c r="F578" s="474"/>
      <c r="G578" s="474"/>
      <c r="H578" s="474"/>
      <c r="I578" s="474"/>
      <c r="J578" s="474"/>
      <c r="K578" s="475"/>
    </row>
    <row r="579" spans="1:11" x14ac:dyDescent="0.45">
      <c r="A579" s="472"/>
      <c r="B579" s="472"/>
      <c r="C579" s="473"/>
      <c r="D579" s="473"/>
      <c r="E579" s="473"/>
      <c r="F579" s="474"/>
      <c r="G579" s="474"/>
      <c r="H579" s="474"/>
      <c r="I579" s="474"/>
      <c r="J579" s="474"/>
      <c r="K579" s="475"/>
    </row>
    <row r="580" spans="1:11" x14ac:dyDescent="0.45">
      <c r="A580" s="472"/>
      <c r="B580" s="472"/>
      <c r="C580" s="473"/>
      <c r="D580" s="473"/>
      <c r="E580" s="473"/>
      <c r="F580" s="474"/>
      <c r="G580" s="474"/>
      <c r="H580" s="474"/>
      <c r="I580" s="474"/>
      <c r="J580" s="474"/>
      <c r="K580" s="475"/>
    </row>
    <row r="581" spans="1:11" x14ac:dyDescent="0.45">
      <c r="A581" s="472"/>
      <c r="B581" s="472"/>
      <c r="C581" s="473"/>
      <c r="D581" s="473"/>
      <c r="E581" s="473"/>
      <c r="F581" s="474"/>
      <c r="G581" s="474"/>
      <c r="H581" s="474"/>
      <c r="I581" s="474"/>
      <c r="J581" s="474"/>
      <c r="K581" s="475"/>
    </row>
    <row r="582" spans="1:11" x14ac:dyDescent="0.45">
      <c r="A582" s="472"/>
      <c r="B582" s="472"/>
      <c r="C582" s="473"/>
      <c r="D582" s="473"/>
      <c r="E582" s="473"/>
      <c r="F582" s="474"/>
      <c r="G582" s="474"/>
      <c r="H582" s="474"/>
      <c r="I582" s="474"/>
      <c r="J582" s="474"/>
      <c r="K582" s="475"/>
    </row>
    <row r="583" spans="1:11" x14ac:dyDescent="0.45">
      <c r="A583" s="472"/>
      <c r="B583" s="472"/>
      <c r="C583" s="473"/>
      <c r="D583" s="473"/>
      <c r="E583" s="473"/>
      <c r="F583" s="474"/>
      <c r="G583" s="474"/>
      <c r="H583" s="474"/>
      <c r="I583" s="474"/>
      <c r="J583" s="474"/>
      <c r="K583" s="475"/>
    </row>
    <row r="584" spans="1:11" x14ac:dyDescent="0.45">
      <c r="A584" s="472"/>
      <c r="B584" s="472"/>
      <c r="C584" s="473"/>
      <c r="D584" s="473"/>
      <c r="E584" s="473"/>
      <c r="F584" s="474"/>
      <c r="G584" s="474"/>
      <c r="H584" s="474"/>
      <c r="I584" s="474"/>
      <c r="J584" s="474"/>
      <c r="K584" s="475"/>
    </row>
    <row r="585" spans="1:11" x14ac:dyDescent="0.45">
      <c r="A585" s="472"/>
      <c r="B585" s="472"/>
      <c r="C585" s="473"/>
      <c r="D585" s="473"/>
      <c r="E585" s="473"/>
      <c r="F585" s="474"/>
      <c r="G585" s="474"/>
      <c r="H585" s="474"/>
      <c r="I585" s="474"/>
      <c r="J585" s="474"/>
      <c r="K585" s="475"/>
    </row>
    <row r="586" spans="1:11" x14ac:dyDescent="0.45">
      <c r="A586" s="472"/>
      <c r="B586" s="472"/>
      <c r="C586" s="473"/>
      <c r="D586" s="473"/>
      <c r="E586" s="473"/>
      <c r="F586" s="474"/>
      <c r="G586" s="474"/>
      <c r="H586" s="474"/>
      <c r="I586" s="474"/>
      <c r="J586" s="474"/>
      <c r="K586" s="475"/>
    </row>
    <row r="587" spans="1:11" x14ac:dyDescent="0.45">
      <c r="A587" s="472"/>
      <c r="B587" s="472"/>
      <c r="C587" s="473"/>
      <c r="D587" s="473"/>
      <c r="E587" s="473"/>
      <c r="F587" s="474"/>
      <c r="G587" s="474"/>
      <c r="H587" s="474"/>
      <c r="I587" s="474"/>
      <c r="J587" s="474"/>
      <c r="K587" s="475"/>
    </row>
    <row r="588" spans="1:11" x14ac:dyDescent="0.45">
      <c r="A588" s="472"/>
      <c r="B588" s="472"/>
      <c r="C588" s="473"/>
      <c r="D588" s="473"/>
      <c r="E588" s="473"/>
      <c r="F588" s="474"/>
      <c r="G588" s="474"/>
      <c r="H588" s="474"/>
      <c r="I588" s="474"/>
      <c r="J588" s="474"/>
      <c r="K588" s="475"/>
    </row>
    <row r="589" spans="1:11" x14ac:dyDescent="0.45">
      <c r="A589" s="472"/>
      <c r="B589" s="472"/>
      <c r="C589" s="473"/>
      <c r="D589" s="473"/>
      <c r="E589" s="473"/>
      <c r="F589" s="474"/>
      <c r="G589" s="474"/>
      <c r="H589" s="474"/>
      <c r="I589" s="474"/>
      <c r="J589" s="474"/>
      <c r="K589" s="475"/>
    </row>
    <row r="590" spans="1:11" x14ac:dyDescent="0.45">
      <c r="A590" s="472"/>
      <c r="B590" s="472"/>
      <c r="C590" s="473"/>
      <c r="D590" s="473"/>
      <c r="E590" s="473"/>
      <c r="F590" s="474"/>
      <c r="G590" s="474"/>
      <c r="H590" s="474"/>
      <c r="I590" s="474"/>
      <c r="J590" s="474"/>
      <c r="K590" s="475"/>
    </row>
    <row r="591" spans="1:11" x14ac:dyDescent="0.45">
      <c r="A591" s="472"/>
      <c r="B591" s="472"/>
      <c r="C591" s="473"/>
      <c r="D591" s="473"/>
      <c r="E591" s="473"/>
      <c r="F591" s="474"/>
      <c r="G591" s="474"/>
      <c r="H591" s="474"/>
      <c r="I591" s="474"/>
      <c r="J591" s="474"/>
      <c r="K591" s="475"/>
    </row>
    <row r="592" spans="1:11" x14ac:dyDescent="0.45">
      <c r="A592" s="472"/>
      <c r="B592" s="472"/>
      <c r="C592" s="473"/>
      <c r="D592" s="473"/>
      <c r="E592" s="473"/>
      <c r="F592" s="474"/>
      <c r="G592" s="474"/>
      <c r="H592" s="474"/>
      <c r="I592" s="474"/>
      <c r="J592" s="474"/>
      <c r="K592" s="475"/>
    </row>
    <row r="593" spans="1:11" x14ac:dyDescent="0.45">
      <c r="A593" s="472"/>
      <c r="B593" s="472"/>
      <c r="C593" s="473"/>
      <c r="D593" s="473"/>
      <c r="E593" s="473"/>
      <c r="F593" s="474"/>
      <c r="G593" s="474"/>
      <c r="H593" s="474"/>
      <c r="I593" s="474"/>
      <c r="J593" s="474"/>
      <c r="K593" s="475"/>
    </row>
    <row r="594" spans="1:11" x14ac:dyDescent="0.45">
      <c r="A594" s="472"/>
      <c r="B594" s="472"/>
      <c r="C594" s="473"/>
      <c r="D594" s="473"/>
      <c r="E594" s="473"/>
      <c r="F594" s="474"/>
      <c r="G594" s="474"/>
      <c r="H594" s="474"/>
      <c r="I594" s="474"/>
      <c r="J594" s="474"/>
      <c r="K594" s="475"/>
    </row>
    <row r="595" spans="1:11" x14ac:dyDescent="0.45">
      <c r="A595" s="472"/>
      <c r="B595" s="472"/>
      <c r="C595" s="473"/>
      <c r="D595" s="473"/>
      <c r="E595" s="473"/>
      <c r="F595" s="474"/>
      <c r="G595" s="474"/>
      <c r="H595" s="474"/>
      <c r="I595" s="474"/>
      <c r="J595" s="474"/>
      <c r="K595" s="475"/>
    </row>
    <row r="596" spans="1:11" x14ac:dyDescent="0.45">
      <c r="A596" s="472"/>
      <c r="B596" s="472"/>
      <c r="C596" s="473"/>
      <c r="D596" s="473"/>
      <c r="E596" s="473"/>
      <c r="F596" s="474"/>
      <c r="G596" s="474"/>
      <c r="H596" s="474"/>
      <c r="I596" s="474"/>
      <c r="J596" s="474"/>
      <c r="K596" s="475"/>
    </row>
    <row r="597" spans="1:11" x14ac:dyDescent="0.45">
      <c r="A597" s="472"/>
      <c r="B597" s="472"/>
      <c r="C597" s="473"/>
      <c r="D597" s="473"/>
      <c r="E597" s="473"/>
      <c r="F597" s="474"/>
      <c r="G597" s="474"/>
      <c r="H597" s="474"/>
      <c r="I597" s="474"/>
      <c r="J597" s="474"/>
      <c r="K597" s="475"/>
    </row>
    <row r="598" spans="1:11" x14ac:dyDescent="0.45">
      <c r="A598" s="472"/>
      <c r="B598" s="472"/>
      <c r="C598" s="473"/>
      <c r="D598" s="473"/>
      <c r="E598" s="473"/>
      <c r="F598" s="474"/>
      <c r="G598" s="474"/>
      <c r="H598" s="474"/>
      <c r="I598" s="474"/>
      <c r="J598" s="474"/>
      <c r="K598" s="475"/>
    </row>
    <row r="599" spans="1:11" x14ac:dyDescent="0.45">
      <c r="A599" s="472"/>
      <c r="B599" s="472"/>
      <c r="C599" s="473"/>
      <c r="D599" s="473"/>
      <c r="E599" s="473"/>
      <c r="F599" s="474"/>
      <c r="G599" s="474"/>
      <c r="H599" s="474"/>
      <c r="I599" s="474"/>
      <c r="J599" s="474"/>
      <c r="K599" s="475"/>
    </row>
    <row r="600" spans="1:11" x14ac:dyDescent="0.45">
      <c r="A600" s="472"/>
      <c r="B600" s="472"/>
      <c r="C600" s="473"/>
      <c r="D600" s="473"/>
      <c r="E600" s="473"/>
      <c r="F600" s="474"/>
      <c r="G600" s="474"/>
      <c r="H600" s="474"/>
      <c r="I600" s="474"/>
      <c r="J600" s="474"/>
      <c r="K600" s="475"/>
    </row>
    <row r="601" spans="1:11" x14ac:dyDescent="0.45">
      <c r="A601" s="472"/>
      <c r="B601" s="472"/>
      <c r="C601" s="473"/>
      <c r="D601" s="473"/>
      <c r="E601" s="473"/>
      <c r="F601" s="474"/>
      <c r="G601" s="474"/>
      <c r="H601" s="474"/>
      <c r="I601" s="474"/>
      <c r="J601" s="474"/>
      <c r="K601" s="475"/>
    </row>
    <row r="602" spans="1:11" x14ac:dyDescent="0.45">
      <c r="A602" s="472"/>
      <c r="B602" s="472"/>
      <c r="C602" s="473"/>
      <c r="D602" s="473"/>
      <c r="E602" s="473"/>
      <c r="F602" s="474"/>
      <c r="G602" s="474"/>
      <c r="H602" s="474"/>
      <c r="I602" s="474"/>
      <c r="J602" s="474"/>
      <c r="K602" s="475"/>
    </row>
    <row r="603" spans="1:11" x14ac:dyDescent="0.45">
      <c r="A603" s="472"/>
      <c r="B603" s="472"/>
      <c r="C603" s="473"/>
      <c r="D603" s="473"/>
      <c r="E603" s="473"/>
      <c r="F603" s="474"/>
      <c r="G603" s="474"/>
      <c r="H603" s="474"/>
      <c r="I603" s="474"/>
      <c r="J603" s="474"/>
      <c r="K603" s="475"/>
    </row>
    <row r="604" spans="1:11" x14ac:dyDescent="0.45">
      <c r="A604" s="472"/>
      <c r="B604" s="472"/>
      <c r="C604" s="473"/>
      <c r="D604" s="473"/>
      <c r="E604" s="473"/>
      <c r="F604" s="474"/>
      <c r="G604" s="474"/>
      <c r="H604" s="474"/>
      <c r="I604" s="474"/>
      <c r="J604" s="474"/>
      <c r="K604" s="475"/>
    </row>
    <row r="605" spans="1:11" x14ac:dyDescent="0.45">
      <c r="A605" s="472"/>
      <c r="B605" s="472"/>
      <c r="C605" s="473"/>
      <c r="D605" s="473"/>
      <c r="E605" s="473"/>
      <c r="F605" s="474"/>
      <c r="G605" s="474"/>
      <c r="H605" s="474"/>
      <c r="I605" s="474"/>
      <c r="J605" s="474"/>
      <c r="K605" s="475"/>
    </row>
    <row r="606" spans="1:11" x14ac:dyDescent="0.45">
      <c r="A606" s="472"/>
      <c r="B606" s="472"/>
      <c r="C606" s="473"/>
      <c r="D606" s="473"/>
      <c r="E606" s="473"/>
      <c r="F606" s="474"/>
      <c r="G606" s="474"/>
      <c r="H606" s="474"/>
      <c r="I606" s="474"/>
      <c r="J606" s="474"/>
      <c r="K606" s="475"/>
    </row>
    <row r="607" spans="1:11" x14ac:dyDescent="0.45">
      <c r="A607" s="472"/>
      <c r="B607" s="472"/>
      <c r="C607" s="473"/>
      <c r="D607" s="473"/>
      <c r="E607" s="473"/>
      <c r="F607" s="474"/>
      <c r="G607" s="474"/>
      <c r="H607" s="474"/>
      <c r="I607" s="474"/>
      <c r="J607" s="474"/>
      <c r="K607" s="475"/>
    </row>
    <row r="608" spans="1:11" x14ac:dyDescent="0.45">
      <c r="A608" s="472"/>
      <c r="B608" s="472"/>
      <c r="C608" s="473"/>
      <c r="D608" s="473"/>
      <c r="E608" s="473"/>
      <c r="F608" s="474"/>
      <c r="G608" s="474"/>
      <c r="H608" s="474"/>
      <c r="I608" s="474"/>
      <c r="J608" s="474"/>
      <c r="K608" s="475"/>
    </row>
    <row r="609" spans="1:11" x14ac:dyDescent="0.45">
      <c r="A609" s="472"/>
      <c r="B609" s="472"/>
      <c r="C609" s="473"/>
      <c r="D609" s="473"/>
      <c r="E609" s="473"/>
      <c r="F609" s="474"/>
      <c r="G609" s="474"/>
      <c r="H609" s="474"/>
      <c r="I609" s="474"/>
      <c r="J609" s="474"/>
      <c r="K609" s="475"/>
    </row>
    <row r="610" spans="1:11" x14ac:dyDescent="0.45">
      <c r="A610" s="472"/>
      <c r="B610" s="472"/>
      <c r="C610" s="473"/>
      <c r="D610" s="473"/>
      <c r="E610" s="473"/>
      <c r="F610" s="474"/>
      <c r="G610" s="474"/>
      <c r="H610" s="474"/>
      <c r="I610" s="474"/>
      <c r="J610" s="474"/>
      <c r="K610" s="475"/>
    </row>
    <row r="611" spans="1:11" x14ac:dyDescent="0.45">
      <c r="A611" s="472"/>
      <c r="B611" s="472"/>
      <c r="C611" s="473"/>
      <c r="D611" s="473"/>
      <c r="E611" s="473"/>
      <c r="F611" s="474"/>
      <c r="G611" s="474"/>
      <c r="H611" s="474"/>
      <c r="I611" s="474"/>
      <c r="J611" s="474"/>
      <c r="K611" s="475"/>
    </row>
    <row r="612" spans="1:11" x14ac:dyDescent="0.45">
      <c r="A612" s="472"/>
      <c r="B612" s="472"/>
      <c r="C612" s="473"/>
      <c r="D612" s="473"/>
      <c r="E612" s="473"/>
      <c r="F612" s="474"/>
      <c r="G612" s="474"/>
      <c r="H612" s="474"/>
      <c r="I612" s="474"/>
      <c r="J612" s="474"/>
      <c r="K612" s="475"/>
    </row>
    <row r="613" spans="1:11" x14ac:dyDescent="0.45">
      <c r="A613" s="472"/>
      <c r="B613" s="472"/>
      <c r="C613" s="473"/>
      <c r="D613" s="473"/>
      <c r="E613" s="473"/>
      <c r="F613" s="474"/>
      <c r="G613" s="474"/>
      <c r="H613" s="474"/>
      <c r="I613" s="474"/>
      <c r="J613" s="474"/>
      <c r="K613" s="475"/>
    </row>
    <row r="614" spans="1:11" x14ac:dyDescent="0.45">
      <c r="A614" s="472"/>
      <c r="B614" s="472"/>
      <c r="C614" s="473"/>
      <c r="D614" s="473"/>
      <c r="E614" s="473"/>
      <c r="F614" s="474"/>
      <c r="G614" s="474"/>
      <c r="H614" s="474"/>
      <c r="I614" s="474"/>
      <c r="J614" s="474"/>
      <c r="K614" s="475"/>
    </row>
    <row r="615" spans="1:11" x14ac:dyDescent="0.45">
      <c r="A615" s="472"/>
      <c r="B615" s="472"/>
      <c r="C615" s="473"/>
      <c r="D615" s="473"/>
      <c r="E615" s="473"/>
      <c r="F615" s="474"/>
      <c r="G615" s="474"/>
      <c r="H615" s="474"/>
      <c r="I615" s="474"/>
      <c r="J615" s="474"/>
      <c r="K615" s="475"/>
    </row>
    <row r="616" spans="1:11" x14ac:dyDescent="0.45">
      <c r="A616" s="472"/>
      <c r="B616" s="472"/>
      <c r="C616" s="473"/>
      <c r="D616" s="473"/>
      <c r="E616" s="473"/>
      <c r="F616" s="474"/>
      <c r="G616" s="474"/>
      <c r="H616" s="474"/>
      <c r="I616" s="474"/>
      <c r="J616" s="474"/>
      <c r="K616" s="475"/>
    </row>
    <row r="617" spans="1:11" x14ac:dyDescent="0.45">
      <c r="A617" s="472"/>
      <c r="B617" s="472"/>
      <c r="C617" s="473"/>
      <c r="D617" s="473"/>
      <c r="E617" s="473"/>
      <c r="F617" s="474"/>
      <c r="G617" s="474"/>
      <c r="H617" s="474"/>
      <c r="I617" s="474"/>
      <c r="J617" s="474"/>
      <c r="K617" s="475"/>
    </row>
    <row r="618" spans="1:11" x14ac:dyDescent="0.45">
      <c r="A618" s="472"/>
      <c r="B618" s="472"/>
      <c r="C618" s="473"/>
      <c r="D618" s="473"/>
      <c r="E618" s="473"/>
      <c r="F618" s="474"/>
      <c r="G618" s="474"/>
      <c r="H618" s="474"/>
      <c r="I618" s="474"/>
      <c r="J618" s="474"/>
      <c r="K618" s="475"/>
    </row>
    <row r="619" spans="1:11" x14ac:dyDescent="0.45">
      <c r="A619" s="472"/>
      <c r="B619" s="472"/>
      <c r="C619" s="473"/>
      <c r="D619" s="473"/>
      <c r="E619" s="473"/>
      <c r="F619" s="474"/>
      <c r="G619" s="474"/>
      <c r="H619" s="474"/>
      <c r="I619" s="474"/>
      <c r="J619" s="474"/>
      <c r="K619" s="475"/>
    </row>
    <row r="620" spans="1:11" x14ac:dyDescent="0.45">
      <c r="A620" s="472"/>
      <c r="B620" s="472"/>
      <c r="C620" s="473"/>
      <c r="D620" s="473"/>
      <c r="E620" s="473"/>
      <c r="F620" s="474"/>
      <c r="G620" s="474"/>
      <c r="H620" s="474"/>
      <c r="I620" s="474"/>
      <c r="J620" s="474"/>
      <c r="K620" s="475"/>
    </row>
    <row r="621" spans="1:11" x14ac:dyDescent="0.45">
      <c r="A621" s="472"/>
      <c r="B621" s="472"/>
      <c r="C621" s="473"/>
      <c r="D621" s="473"/>
      <c r="E621" s="473"/>
      <c r="F621" s="474"/>
      <c r="G621" s="474"/>
      <c r="H621" s="474"/>
      <c r="I621" s="474"/>
      <c r="J621" s="474"/>
      <c r="K621" s="475"/>
    </row>
    <row r="622" spans="1:11" x14ac:dyDescent="0.45">
      <c r="A622" s="472"/>
      <c r="B622" s="472"/>
      <c r="C622" s="473"/>
      <c r="D622" s="473"/>
      <c r="E622" s="473"/>
      <c r="F622" s="474"/>
      <c r="G622" s="474"/>
      <c r="H622" s="474"/>
      <c r="I622" s="474"/>
      <c r="J622" s="474"/>
      <c r="K622" s="475"/>
    </row>
    <row r="623" spans="1:11" x14ac:dyDescent="0.45">
      <c r="A623" s="472"/>
      <c r="B623" s="472"/>
      <c r="C623" s="473"/>
      <c r="D623" s="473"/>
      <c r="E623" s="473"/>
      <c r="F623" s="474"/>
      <c r="G623" s="474"/>
      <c r="H623" s="474"/>
      <c r="I623" s="474"/>
      <c r="J623" s="474"/>
      <c r="K623" s="475"/>
    </row>
    <row r="624" spans="1:11" x14ac:dyDescent="0.45">
      <c r="A624" s="472"/>
      <c r="B624" s="472"/>
      <c r="C624" s="473"/>
      <c r="D624" s="473"/>
      <c r="E624" s="473"/>
      <c r="F624" s="474"/>
      <c r="G624" s="474"/>
      <c r="H624" s="474"/>
      <c r="I624" s="474"/>
      <c r="J624" s="474"/>
      <c r="K624" s="475"/>
    </row>
    <row r="625" spans="1:11" x14ac:dyDescent="0.45">
      <c r="A625" s="472"/>
      <c r="B625" s="472"/>
      <c r="C625" s="473"/>
      <c r="D625" s="473"/>
      <c r="E625" s="473"/>
      <c r="F625" s="474"/>
      <c r="G625" s="474"/>
      <c r="H625" s="474"/>
      <c r="I625" s="474"/>
      <c r="J625" s="474"/>
      <c r="K625" s="475"/>
    </row>
    <row r="626" spans="1:11" x14ac:dyDescent="0.45">
      <c r="A626" s="472"/>
      <c r="B626" s="472"/>
      <c r="C626" s="473"/>
      <c r="D626" s="473"/>
      <c r="E626" s="473"/>
      <c r="F626" s="474"/>
      <c r="G626" s="474"/>
      <c r="H626" s="474"/>
      <c r="I626" s="474"/>
      <c r="J626" s="474"/>
      <c r="K626" s="475"/>
    </row>
    <row r="627" spans="1:11" x14ac:dyDescent="0.45">
      <c r="A627" s="472"/>
      <c r="B627" s="472"/>
      <c r="C627" s="473"/>
      <c r="D627" s="473"/>
      <c r="E627" s="473"/>
      <c r="F627" s="474"/>
      <c r="G627" s="474"/>
      <c r="H627" s="474"/>
      <c r="I627" s="474"/>
      <c r="J627" s="474"/>
      <c r="K627" s="475"/>
    </row>
    <row r="628" spans="1:11" x14ac:dyDescent="0.45">
      <c r="A628" s="472"/>
      <c r="B628" s="472"/>
      <c r="C628" s="473"/>
      <c r="D628" s="473"/>
      <c r="E628" s="473"/>
      <c r="F628" s="474"/>
      <c r="G628" s="474"/>
      <c r="H628" s="474"/>
      <c r="I628" s="474"/>
      <c r="J628" s="474"/>
      <c r="K628" s="475"/>
    </row>
    <row r="629" spans="1:11" x14ac:dyDescent="0.45">
      <c r="A629" s="472"/>
      <c r="B629" s="472"/>
      <c r="C629" s="473"/>
      <c r="D629" s="473"/>
      <c r="E629" s="473"/>
      <c r="F629" s="474"/>
      <c r="G629" s="474"/>
      <c r="H629" s="474"/>
      <c r="I629" s="474"/>
      <c r="J629" s="474"/>
      <c r="K629" s="475"/>
    </row>
    <row r="630" spans="1:11" x14ac:dyDescent="0.45">
      <c r="A630" s="472"/>
      <c r="B630" s="472"/>
      <c r="C630" s="473"/>
      <c r="D630" s="473"/>
      <c r="E630" s="473"/>
      <c r="F630" s="474"/>
      <c r="G630" s="474"/>
      <c r="H630" s="474"/>
      <c r="I630" s="474"/>
      <c r="J630" s="474"/>
      <c r="K630" s="475"/>
    </row>
    <row r="631" spans="1:11" x14ac:dyDescent="0.45">
      <c r="A631" s="472"/>
      <c r="B631" s="472"/>
      <c r="C631" s="473"/>
      <c r="D631" s="473"/>
      <c r="E631" s="473"/>
      <c r="F631" s="474"/>
      <c r="G631" s="474"/>
      <c r="H631" s="474"/>
      <c r="I631" s="474"/>
      <c r="J631" s="474"/>
      <c r="K631" s="475"/>
    </row>
    <row r="632" spans="1:11" x14ac:dyDescent="0.45">
      <c r="A632" s="472"/>
      <c r="B632" s="472"/>
      <c r="C632" s="473"/>
      <c r="D632" s="473"/>
      <c r="E632" s="473"/>
      <c r="F632" s="474"/>
      <c r="G632" s="474"/>
      <c r="H632" s="474"/>
      <c r="I632" s="474"/>
      <c r="J632" s="474"/>
      <c r="K632" s="475"/>
    </row>
    <row r="633" spans="1:11" x14ac:dyDescent="0.45">
      <c r="A633" s="472"/>
      <c r="B633" s="472"/>
      <c r="C633" s="473"/>
      <c r="D633" s="473"/>
      <c r="E633" s="473"/>
      <c r="F633" s="474"/>
      <c r="G633" s="474"/>
      <c r="H633" s="474"/>
      <c r="I633" s="474"/>
      <c r="J633" s="474"/>
      <c r="K633" s="475"/>
    </row>
    <row r="634" spans="1:11" x14ac:dyDescent="0.45">
      <c r="A634" s="472"/>
      <c r="B634" s="472"/>
      <c r="C634" s="473"/>
      <c r="D634" s="473"/>
      <c r="E634" s="473"/>
      <c r="F634" s="474"/>
      <c r="G634" s="474"/>
      <c r="H634" s="474"/>
      <c r="I634" s="474"/>
      <c r="J634" s="474"/>
      <c r="K634" s="475"/>
    </row>
    <row r="635" spans="1:11" x14ac:dyDescent="0.45">
      <c r="A635" s="472"/>
      <c r="B635" s="472"/>
      <c r="C635" s="473"/>
      <c r="D635" s="473"/>
      <c r="E635" s="473"/>
      <c r="F635" s="474"/>
      <c r="G635" s="474"/>
      <c r="H635" s="474"/>
      <c r="I635" s="474"/>
      <c r="J635" s="474"/>
      <c r="K635" s="475"/>
    </row>
    <row r="636" spans="1:11" x14ac:dyDescent="0.45">
      <c r="A636" s="472"/>
      <c r="B636" s="472"/>
      <c r="C636" s="473"/>
      <c r="D636" s="473"/>
      <c r="E636" s="473"/>
      <c r="F636" s="474"/>
      <c r="G636" s="474"/>
      <c r="H636" s="474"/>
      <c r="I636" s="474"/>
      <c r="J636" s="474"/>
      <c r="K636" s="475"/>
    </row>
    <row r="637" spans="1:11" x14ac:dyDescent="0.45">
      <c r="A637" s="472"/>
      <c r="B637" s="472"/>
      <c r="C637" s="473"/>
      <c r="D637" s="473"/>
      <c r="E637" s="473"/>
      <c r="F637" s="474"/>
      <c r="G637" s="474"/>
      <c r="H637" s="474"/>
      <c r="I637" s="474"/>
      <c r="J637" s="474"/>
      <c r="K637" s="475"/>
    </row>
    <row r="638" spans="1:11" x14ac:dyDescent="0.45">
      <c r="A638" s="472"/>
      <c r="B638" s="472"/>
      <c r="C638" s="473"/>
      <c r="D638" s="473"/>
      <c r="E638" s="473"/>
      <c r="F638" s="474"/>
      <c r="G638" s="474"/>
      <c r="H638" s="474"/>
      <c r="I638" s="474"/>
      <c r="J638" s="474"/>
      <c r="K638" s="475"/>
    </row>
    <row r="639" spans="1:11" x14ac:dyDescent="0.45">
      <c r="A639" s="472"/>
      <c r="B639" s="472"/>
      <c r="C639" s="473"/>
      <c r="D639" s="473"/>
      <c r="E639" s="473"/>
      <c r="F639" s="474"/>
      <c r="G639" s="474"/>
      <c r="H639" s="474"/>
      <c r="I639" s="474"/>
      <c r="J639" s="474"/>
      <c r="K639" s="475"/>
    </row>
    <row r="640" spans="1:11" x14ac:dyDescent="0.45">
      <c r="A640" s="472"/>
      <c r="B640" s="472"/>
      <c r="C640" s="473"/>
      <c r="D640" s="473"/>
      <c r="E640" s="473"/>
      <c r="F640" s="474"/>
      <c r="G640" s="474"/>
      <c r="H640" s="474"/>
      <c r="I640" s="474"/>
      <c r="J640" s="474"/>
      <c r="K640" s="475"/>
    </row>
    <row r="641" spans="1:11" x14ac:dyDescent="0.45">
      <c r="A641" s="472"/>
      <c r="B641" s="472"/>
      <c r="C641" s="473"/>
      <c r="D641" s="473"/>
      <c r="E641" s="473"/>
      <c r="F641" s="474"/>
      <c r="G641" s="474"/>
      <c r="H641" s="474"/>
      <c r="I641" s="474"/>
      <c r="J641" s="474"/>
      <c r="K641" s="475"/>
    </row>
    <row r="642" spans="1:11" x14ac:dyDescent="0.45">
      <c r="A642" s="472"/>
      <c r="B642" s="472"/>
      <c r="C642" s="473"/>
      <c r="D642" s="473"/>
      <c r="E642" s="473"/>
      <c r="F642" s="474"/>
      <c r="G642" s="474"/>
      <c r="H642" s="474"/>
      <c r="I642" s="474"/>
      <c r="J642" s="474"/>
      <c r="K642" s="475"/>
    </row>
    <row r="643" spans="1:11" x14ac:dyDescent="0.45">
      <c r="A643" s="472"/>
      <c r="B643" s="472"/>
      <c r="C643" s="473"/>
      <c r="D643" s="473"/>
      <c r="E643" s="473"/>
      <c r="F643" s="474"/>
      <c r="G643" s="474"/>
      <c r="H643" s="474"/>
      <c r="I643" s="474"/>
      <c r="J643" s="474"/>
      <c r="K643" s="475"/>
    </row>
    <row r="644" spans="1:11" x14ac:dyDescent="0.45">
      <c r="A644" s="472"/>
      <c r="B644" s="472"/>
      <c r="C644" s="473"/>
      <c r="D644" s="473"/>
      <c r="E644" s="473"/>
      <c r="F644" s="474"/>
      <c r="G644" s="474"/>
      <c r="H644" s="474"/>
      <c r="I644" s="474"/>
      <c r="J644" s="474"/>
      <c r="K644" s="475"/>
    </row>
    <row r="645" spans="1:11" x14ac:dyDescent="0.45">
      <c r="A645" s="472"/>
      <c r="B645" s="472"/>
      <c r="C645" s="473"/>
      <c r="D645" s="473"/>
      <c r="E645" s="473"/>
      <c r="F645" s="474"/>
      <c r="G645" s="474"/>
      <c r="H645" s="474"/>
      <c r="I645" s="474"/>
      <c r="J645" s="474"/>
      <c r="K645" s="475"/>
    </row>
    <row r="646" spans="1:11" x14ac:dyDescent="0.45">
      <c r="A646" s="472"/>
      <c r="B646" s="472"/>
      <c r="C646" s="473"/>
      <c r="D646" s="473"/>
      <c r="E646" s="473"/>
      <c r="F646" s="474"/>
      <c r="G646" s="474"/>
      <c r="H646" s="474"/>
      <c r="I646" s="474"/>
      <c r="J646" s="474"/>
      <c r="K646" s="475"/>
    </row>
    <row r="647" spans="1:11" x14ac:dyDescent="0.45">
      <c r="A647" s="472"/>
      <c r="B647" s="472"/>
      <c r="C647" s="473"/>
      <c r="D647" s="473"/>
      <c r="E647" s="473"/>
      <c r="F647" s="474"/>
      <c r="G647" s="474"/>
      <c r="H647" s="474"/>
      <c r="I647" s="474"/>
      <c r="J647" s="474"/>
      <c r="K647" s="475"/>
    </row>
    <row r="648" spans="1:11" x14ac:dyDescent="0.45">
      <c r="A648" s="472"/>
      <c r="B648" s="472"/>
      <c r="C648" s="473"/>
      <c r="D648" s="473"/>
      <c r="E648" s="473"/>
      <c r="F648" s="473"/>
      <c r="G648" s="479"/>
      <c r="H648" s="473"/>
      <c r="I648" s="479"/>
      <c r="J648" s="473"/>
      <c r="K648" s="480"/>
    </row>
    <row r="649" spans="1:11" x14ac:dyDescent="0.45">
      <c r="A649" s="472"/>
      <c r="B649" s="472"/>
      <c r="C649" s="473"/>
      <c r="D649" s="473"/>
      <c r="E649" s="473"/>
      <c r="F649" s="473"/>
      <c r="G649" s="473"/>
      <c r="H649" s="473"/>
      <c r="I649" s="473"/>
      <c r="J649" s="473"/>
      <c r="K649" s="480"/>
    </row>
    <row r="650" spans="1:11" x14ac:dyDescent="0.45">
      <c r="A650" s="481"/>
      <c r="B650" s="481"/>
      <c r="C650" s="480"/>
      <c r="D650" s="480"/>
      <c r="E650" s="480"/>
      <c r="F650" s="482"/>
      <c r="G650" s="482"/>
      <c r="H650" s="482"/>
      <c r="I650" s="482"/>
      <c r="J650" s="482"/>
      <c r="K650" s="480"/>
    </row>
  </sheetData>
  <sheetProtection algorithmName="SHA-512" hashValue="DcRawfM2QcQD1MvuE06l+tIVWiJsI/Nakhj3ekcnPbguvCHCW0tM8IbhIXEe1pWUHJKRIdRdtJ7d/0jfFHkZUg==" saltValue="xtxu8QauWrQ+gn97pCNy+A==" spinCount="100000" sheet="1" selectLockedCells="1"/>
  <mergeCells count="1">
    <mergeCell ref="D118:E118"/>
  </mergeCells>
  <conditionalFormatting sqref="A120:B120">
    <cfRule type="cellIs" dxfId="2" priority="1" stopIfTrue="1" operator="lessThan">
      <formula>0</formula>
    </cfRule>
  </conditionalFormatting>
  <conditionalFormatting sqref="D121:G121 A122:G158 A121:B121">
    <cfRule type="expression" dxfId="1" priority="2" stopIfTrue="1">
      <formula>MOD(ROW(),2)=0</formula>
    </cfRule>
    <cfRule type="expression" dxfId="0" priority="3" stopIfTrue="1">
      <formula>MOD(ROW(),2)=1</formula>
    </cfRule>
  </conditionalFormatting>
  <pageMargins left="0.7" right="0.7" top="0.75" bottom="0.75" header="0.3" footer="0.3"/>
  <pageSetup paperSize="9" scale="4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Cover</vt:lpstr>
      <vt:lpstr>Index</vt:lpstr>
      <vt:lpstr>INTRO</vt:lpstr>
      <vt:lpstr>MKT</vt:lpstr>
      <vt:lpstr>MKT1</vt:lpstr>
      <vt:lpstr>CON</vt:lpstr>
      <vt:lpstr>ETAIL</vt:lpstr>
      <vt:lpstr>MKT2</vt:lpstr>
      <vt:lpstr>DOPN1</vt:lpstr>
      <vt:lpstr>DOPN2</vt:lpstr>
      <vt:lpstr>CARR1</vt:lpstr>
      <vt:lpstr>CARR2</vt:lpstr>
      <vt:lpstr>LCARR</vt:lpstr>
      <vt:lpstr>COMM</vt:lpstr>
      <vt:lpstr>SUM</vt:lpstr>
      <vt:lpstr>CARR1!Print_Area</vt:lpstr>
      <vt:lpstr>CARR2!Print_Area</vt:lpstr>
      <vt:lpstr>COMM!Print_Area</vt:lpstr>
      <vt:lpstr>DOPN2!Print_Area</vt:lpstr>
      <vt:lpstr>MKT!Print_Area</vt:lpstr>
      <vt:lpstr>'MKT1'!Print_Area</vt:lpstr>
      <vt:lpstr>'MKT2'!Print_Area</vt:lpstr>
    </vt:vector>
  </TitlesOfParts>
  <Manager>John Brown</Manager>
  <Company>YorBox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 User;John Brown</dc:creator>
  <cp:lastModifiedBy>john brown</cp:lastModifiedBy>
  <cp:lastPrinted>2021-02-22T13:00:08Z</cp:lastPrinted>
  <dcterms:created xsi:type="dcterms:W3CDTF">2015-11-08T11:28:26Z</dcterms:created>
  <dcterms:modified xsi:type="dcterms:W3CDTF">2021-11-24T17:41:35Z</dcterms:modified>
</cp:coreProperties>
</file>